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ra.bruce_evidencea\Documents\Work streams\Gates\Draft toolkit\V3\"/>
    </mc:Choice>
  </mc:AlternateContent>
  <xr:revisionPtr revIDLastSave="0" documentId="13_ncr:1_{F3BEC305-AE81-42E5-B1FF-E0F1854FE0B4}" xr6:coauthVersionLast="47" xr6:coauthVersionMax="47" xr10:uidLastSave="{00000000-0000-0000-0000-000000000000}"/>
  <bookViews>
    <workbookView xWindow="19090" yWindow="-10850" windowWidth="38620" windowHeight="21100" tabRatio="775" xr2:uid="{CB4115C9-B1F5-412C-9197-ACA2B9C0A111}"/>
  </bookViews>
  <sheets>
    <sheet name="(Commencer ici) Instructions" sheetId="14" r:id="rId1"/>
    <sheet name="Configuration + Données d'entré" sheetId="1" r:id="rId2"/>
    <sheet name="Résumé" sheetId="6" r:id="rId3"/>
    <sheet name="Quantification" sheetId="11" r:id="rId4"/>
    <sheet name="Budget Breakdown" sheetId="7" r:id="rId5"/>
    <sheet name="Country_Database" sheetId="9" state="hidden" r:id="rId6"/>
    <sheet name="Calc_PW" sheetId="10" state="hidden" r:id="rId7"/>
    <sheet name="Calc_DualTests" sheetId="2" state="hidden" r:id="rId8"/>
    <sheet name="Calc_HBsAgTests" sheetId="16" state="hidden" r:id="rId9"/>
    <sheet name="Calc_TripleTests" sheetId="15" state="hidden" r:id="rId10"/>
    <sheet name="Calc_BPG" sheetId="3" state="hidden" r:id="rId11"/>
    <sheet name="Calc_TDF" sheetId="17" state="hidden" r:id="rId12"/>
    <sheet name="Calc_Budget" sheetId="4" state="hidden" r:id="rId13"/>
  </sheets>
  <definedNames>
    <definedName name="_xlnm._FilterDatabase" localSheetId="6" hidden="1">Calc_PW!$A$1:$F$1</definedName>
    <definedName name="ANC_DualTest_Share_Y1">'Configuration + Données d''entré'!$B$92</definedName>
    <definedName name="ANC_DualTest_Share_Y2">'Configuration + Données d''entré'!$B$93</definedName>
    <definedName name="ANC_DualTest_Share_Y3">'Configuration + Données d''entré'!$B$94</definedName>
    <definedName name="ANC_HBsAgTest_Share_Y1">'Configuration + Données d''entré'!$B$103</definedName>
    <definedName name="ANC_HBsAgTest_Share_Y2">'Configuration + Données d''entré'!$B$104</definedName>
    <definedName name="ANC_HBsAgTest_Share_Y3">'Configuration + Données d''entré'!$B$105</definedName>
    <definedName name="ANC_Population">'Configuration + Données d''entré'!$B$14</definedName>
    <definedName name="ANC_TripleTest_Share_Y1">'Configuration + Données d''entré'!$B$114</definedName>
    <definedName name="ANC_TripleTest_Share_Y2">'Configuration + Données d''entré'!$B$115</definedName>
    <definedName name="ANC_TripleTest_Share_Y3">'Configuration + Données d''entré'!$B$116</definedName>
    <definedName name="Baseline_Screening_Coverage">'Configuration + Données d''entré'!$B$18</definedName>
    <definedName name="Baseline_Treatment_Coverage">'Configuration + Données d''entré'!$B$19</definedName>
    <definedName name="BPG_Buffer">'Configuration + Données d''entré'!$B$121</definedName>
    <definedName name="BPG_Freq">'Configuration + Données d''entré'!$B$122</definedName>
    <definedName name="BPG_LandedCost">Calc_Budget!$B$24</definedName>
    <definedName name="BPG_LandedCostPerPack">Calc_Budget!$B$25</definedName>
    <definedName name="BPG_PackSize">'Configuration + Données d''entré'!$B$120</definedName>
    <definedName name="BPG_Total_Budget">Calc_Budget!$F$63</definedName>
    <definedName name="BPG_UnitCost">'Configuration + Données d''entré'!$B$119</definedName>
    <definedName name="Country_Data">Country_Database!$A$1:$E$23</definedName>
    <definedName name="Country_List">Country_Database!$A$2:$A$24</definedName>
    <definedName name="Country_Name">'Configuration + Données d''entré'!$B$6</definedName>
    <definedName name="Currency">'Configuration + Données d''entré'!$B$8</definedName>
    <definedName name="Customs_Pct">'Configuration + Données d''entré'!$B$175</definedName>
    <definedName name="Distribution_Pct">'Configuration + Données d''entré'!$B$173</definedName>
    <definedName name="DualTest_Buffer">'Configuration + Données d''entré'!$B$88</definedName>
    <definedName name="DualTest_Freq">'Configuration + Données d''entré'!$B$90</definedName>
    <definedName name="DualTest_LandedCost">Calc_Budget!$B$6</definedName>
    <definedName name="DualTest_LandedCostPerPack">Calc_Budget!$B$7</definedName>
    <definedName name="DualTest_PackSize">'Configuration + Données d''entré'!$B$87</definedName>
    <definedName name="DualTest_Total_Budget">Calc_Budget!$F$42</definedName>
    <definedName name="DualTest_UnitCost">'Configuration + Données d''entré'!$B$86</definedName>
    <definedName name="Eff_BPG_CS_Reduction">Résumé!$C$101</definedName>
    <definedName name="Eff_BPG_Neonatal_Reduction">Résumé!$C$99</definedName>
    <definedName name="Eff_BPG_Preterm_Reduction">Résumé!$C$103</definedName>
    <definedName name="Eff_BPG_Stillbirth_Reduction">Résumé!$C$97</definedName>
    <definedName name="Eff_CS_Rate">Résumé!$C$100</definedName>
    <definedName name="Eff_DW_Adult_Early">Résumé!$C$105</definedName>
    <definedName name="Eff_DW_Adult_Tertiary">Résumé!$C$106</definedName>
    <definedName name="Eff_DW_CS">Résumé!$C$104</definedName>
    <definedName name="Eff_Life_Expectancy">Résumé!$C$107</definedName>
    <definedName name="Eff_Neonatal_Rate">Résumé!$C$98</definedName>
    <definedName name="Eff_Preterm_Rate">Résumé!$C$102</definedName>
    <definedName name="Eff_Stillbirth_Rate">Résumé!$C$96</definedName>
    <definedName name="Effective_Other_BPG_Freq">Quantification!$B$286</definedName>
    <definedName name="Effective_Other_DualTest_Freq">Quantification!$B$283</definedName>
    <definedName name="Effective_Other_HBsAg_Freq">Quantification!$B$284</definedName>
    <definedName name="Effective_Other_TDF_Freq">Quantification!$B$287</definedName>
    <definedName name="Effective_Other_TripleTest_Freq">Quantification!$B$285</definedName>
    <definedName name="Freight_Pct">'Configuration + Données d''entré'!$B$170</definedName>
    <definedName name="Funding_BPG_ANC_Total_3Y">Résumé!$D$64</definedName>
    <definedName name="Funding_BPG_GF_3Y">Résumé!$D$63</definedName>
    <definedName name="Funding_BPG_Govt_3Y">Résumé!$D$62</definedName>
    <definedName name="Funding_BPG_Other_Total_3Y">Résumé!$D$68</definedName>
    <definedName name="Funding_DualTest_GF_3Y">Résumé!$D$55</definedName>
    <definedName name="Funding_DualTest_Govt_3Y">Résumé!$D$54</definedName>
    <definedName name="Funding_DualTest_Total_3Y">Résumé!$D$56</definedName>
    <definedName name="Funding_TripleTest_GF_3Y">Résumé!$D$59</definedName>
    <definedName name="Funding_TripleTest_Govt_3Y">Résumé!$D$58</definedName>
    <definedName name="Funding_TripleTest_Total_3Y">Résumé!$D$60</definedName>
    <definedName name="GF_Gap_Scenario1">'Configuration + Données d''entré'!$B$183</definedName>
    <definedName name="GF_Gap_Scenario2">'Configuration + Données d''entré'!$C$183</definedName>
    <definedName name="GF_Gap_Scenario3">'Configuration + Données d''entré'!$D$183</definedName>
    <definedName name="GovtContribution_Scenario1">'Configuration + Données d''entré'!$B$182</definedName>
    <definedName name="GovtContribution_Scenario2">'Configuration + Données d''entré'!$C$182</definedName>
    <definedName name="GovtContribution_Scenario3">'Configuration + Données d''entré'!$D$182</definedName>
    <definedName name="GovtFinancing_Scenario1">'Configuration + Données d''entré'!$B$181</definedName>
    <definedName name="GovtFinancing_Scenario2">'Configuration + Données d''entré'!$C$181</definedName>
    <definedName name="GovtFinancing_Scenario3">'Configuration + Données d''entré'!$D$181</definedName>
    <definedName name="HBsAg_Buffer">'Configuration + Données d''entré'!$B$99</definedName>
    <definedName name="HBsAg_Freq">'Configuration + Données d''entré'!$B$101</definedName>
    <definedName name="HBsAg_LandedCost">Calc_Budget!$B$12</definedName>
    <definedName name="HBsAg_LandedCostPerPack">Calc_Budget!$B$13</definedName>
    <definedName name="HBsAg_PackSize">'Configuration + Données d''entré'!$B$98</definedName>
    <definedName name="HBsAg_Total_Budget">Calc_Budget!$F$49</definedName>
    <definedName name="HBsAg_UnitCost">'Configuration + Données d''entré'!$B$97</definedName>
    <definedName name="HBsAg_Wastage_Rate">'Configuration + Données d''entré'!$B$100</definedName>
    <definedName name="HBV_Baseline_Screening_Coverage">'Configuration + Données d''entré'!$B$22</definedName>
    <definedName name="HBV_Baseline_Treatment_Coverage">'Configuration + Données d''entré'!$B$23</definedName>
    <definedName name="HBV_Other_Baseline_Screening">'Configuration + Données d''entré'!$B$35</definedName>
    <definedName name="HBV_Other_Baseline_Treatment">'Configuration + Données d''entré'!$B$36</definedName>
    <definedName name="HBV_Other_Partners_Rate_Screening">'Configuration + Données d''entré'!$B$74</definedName>
    <definedName name="HBV_Other_Partners_Rate_Treatment">'Configuration + Données d''entré'!$B$75</definedName>
    <definedName name="HBV_Other_Population">'Configuration + Données d''entré'!$B$28</definedName>
    <definedName name="HBV_Other_Tests_Per_Person">'Configuration + Données d''entré'!$B$73</definedName>
    <definedName name="HBV_Other_Y1_Screening_Target">'Configuration + Données d''entré'!$B$78</definedName>
    <definedName name="HBV_Other_Y1_Treatment_Target">'Configuration + Données d''entré'!$B$79</definedName>
    <definedName name="HBV_Other_Y2_Screening_Target">'Configuration + Données d''entré'!$C$78</definedName>
    <definedName name="HBV_Other_Y2_Treatment_Target">'Configuration + Données d''entré'!$C$79</definedName>
    <definedName name="HBV_Other_Y3_Screening_Target">'Configuration + Données d''entré'!$D$78</definedName>
    <definedName name="HBV_Other_Y3_Treatment_Target">'Configuration + Données d''entré'!$D$79</definedName>
    <definedName name="HBV_Partners_Tested_Rate">'Configuration + Données d''entré'!$B$54</definedName>
    <definedName name="HBV_Partners_Treated_Rate">'Configuration + Données d''entré'!$B$55</definedName>
    <definedName name="HBV_Prevalence">'Configuration + Données d''entré'!$B$21</definedName>
    <definedName name="HBV_Tests_Per_Pregnancy">'Configuration + Données d''entré'!$B$53</definedName>
    <definedName name="HBV_Y1_Screening_Target">'Configuration + Données d''entré'!$B$58</definedName>
    <definedName name="HBV_Y1_Treatment_Target">'Configuration + Données d''entré'!$B$59</definedName>
    <definedName name="HBV_Y2_Screening_Target">'Configuration + Données d''entré'!$C$58</definedName>
    <definedName name="HBV_Y2_Treatment_Target">'Configuration + Données d''entré'!$C$59</definedName>
    <definedName name="HBV_Y3_Screening_Target">'Configuration + Données d''entré'!$D$58</definedName>
    <definedName name="HBV_Y3_Treatment_Target">'Configuration + Données d''entré'!$D$59</definedName>
    <definedName name="Include_Other">'Configuration + Données d''entré'!$B$27</definedName>
    <definedName name="Include_Other_HBV">'Configuration + Données d''entré'!$B$28</definedName>
    <definedName name="Insurance_Pct">'Configuration + Données d''entré'!$B$171</definedName>
    <definedName name="LandedCost_Method">'Configuration + Données d''entré'!$B$164</definedName>
    <definedName name="Manual_Country_Name">'Configuration + Données d''entré'!$B$7</definedName>
    <definedName name="Other_Baseline_Screening">'Configuration + Données d''entré'!$B$31</definedName>
    <definedName name="Other_Baseline_Treatment">'Configuration + Données d''entré'!$B$32</definedName>
    <definedName name="Other_BPG_Buffer">'Configuration + Données d''entré'!$B$155</definedName>
    <definedName name="Other_BPG_Freq">'Configuration + Données d''entré'!$B$156</definedName>
    <definedName name="Other_DualTest_Buffer">'Configuration + Données d''entré'!$B$134</definedName>
    <definedName name="Other_DualTest_Freq">'Configuration + Données d''entré'!$B$135</definedName>
    <definedName name="Other_DualTest_Share_Y1">'Configuration + Données d''entré'!$B$136</definedName>
    <definedName name="Other_DualTest_Share_Y2">'Configuration + Données d''entré'!$B$137</definedName>
    <definedName name="Other_DualTest_Share_Y3">'Configuration + Données d''entré'!$B$138</definedName>
    <definedName name="Other_HBsAg_Buffer">'Configuration + Données d''entré'!$B$141</definedName>
    <definedName name="Other_HBsAg_Freq">'Configuration + Données d''entré'!$B$142</definedName>
    <definedName name="Other_HBsAgTest_Share_Y1">'Configuration + Données d''entré'!$B$143</definedName>
    <definedName name="Other_HBsAgTest_Share_Y2">'Configuration + Données d''entré'!$B$144</definedName>
    <definedName name="Other_HBsAgTest_Share_Y3">'Configuration + Données d''entré'!$B$145</definedName>
    <definedName name="Other_HBV_Prevalence">'Configuration + Données d''entré'!$B$34</definedName>
    <definedName name="Other_Partners_Rate_Screening">'Configuration + Données d''entré'!$B$65</definedName>
    <definedName name="Other_Partners_Rate_Treatment">'Configuration + Données d''entré'!$B$66</definedName>
    <definedName name="Other_Population">'Configuration + Données d''entré'!$B$27</definedName>
    <definedName name="Other_Syphilis_Prevalence">'Configuration + Données d''entré'!$B$30</definedName>
    <definedName name="Other_TDF_Buffer">'Configuration + Données d''entré'!$B$160</definedName>
    <definedName name="Other_TDF_Freq">'Configuration + Données d''entré'!$B$161</definedName>
    <definedName name="Other_TDF_Supply_PerPerson">'Configuration + Données d''entré'!$B$159</definedName>
    <definedName name="Other_Tests_Per_Person">'Configuration + Données d''entré'!$B$64</definedName>
    <definedName name="Other_TripleTest_Buffer">'Configuration + Données d''entré'!$B$148</definedName>
    <definedName name="Other_TripleTest_Freq">'Configuration + Données d''entré'!$B$149</definedName>
    <definedName name="Other_Y1_Screening_Target">'Configuration + Données d''entré'!$B$69</definedName>
    <definedName name="Other_Y1_TDF_Total">Calc_TDF!$K$41</definedName>
    <definedName name="Other_Y1_Treatment_Target">'Configuration + Données d''entré'!$B$70</definedName>
    <definedName name="Other_Y2_Screening_Target">'Configuration + Données d''entré'!$C$69</definedName>
    <definedName name="Other_Y2_TDF_Total">Calc_TDF!$K$42</definedName>
    <definedName name="Other_Y2_Treatment_Target">'Configuration + Données d''entré'!$C$70</definedName>
    <definedName name="Other_Y3_Screening_Target">'Configuration + Données d''entré'!$D$69</definedName>
    <definedName name="Other_Y3_TDF_Total">Calc_TDF!$K$43</definedName>
    <definedName name="Other_Y3_Treatment_Target">'Configuration + Données d''entré'!$D$70</definedName>
    <definedName name="Partners_Tested_Rate">'Configuration + Données d''entré'!$B$44</definedName>
    <definedName name="Partners_Treated_Rate">'Configuration + Données d''entré'!$B$45</definedName>
    <definedName name="Pop_Growth_Rate">'Configuration + Données d''entré'!$B$15</definedName>
    <definedName name="PopGrowthRate">'Configuration + Données d''entré'!$B$15</definedName>
    <definedName name="_xlnm.Print_Area" localSheetId="4">'Budget Breakdown'!$A$1:$G$386</definedName>
    <definedName name="_xlnm.Print_Area" localSheetId="3">Quantification!$A:$J</definedName>
    <definedName name="_xlnm.Print_Area" localSheetId="2">Résumé!$A$1:$H$49</definedName>
    <definedName name="QA_Pct">'Configuration + Données d''entré'!$B$174</definedName>
    <definedName name="Simple_Multiplier">'Configuration + Données d''entré'!$B$167</definedName>
    <definedName name="Syphilis_Prevalence">'Configuration + Données d''entré'!$B$17</definedName>
    <definedName name="TDF_Buffer">'Configuration + Données d''entré'!$B$128</definedName>
    <definedName name="TDF_Freq">'Configuration + Données d''entré'!$B$129</definedName>
    <definedName name="TDF_LandedCost">Calc_Budget!$B$30</definedName>
    <definedName name="TDF_LandedCostPerPack">Calc_Budget!$B$31</definedName>
    <definedName name="TDF_PackSize">'Configuration + Données d''entré'!$B$126</definedName>
    <definedName name="TDF_Supply_PerPW">'Configuration + Données d''entré'!$B$127</definedName>
    <definedName name="TDF_Total_Budget">Calc_Budget!$F$70</definedName>
    <definedName name="TDF_UnitCost">'Configuration + Données d''entré'!$B$125</definedName>
    <definedName name="Tests_Per_Pregnancy">'Configuration + Données d''entré'!$B$43</definedName>
    <definedName name="ThreeYear_BPG_Packs">Quantification!$B$225</definedName>
    <definedName name="ThreeYear_BPG_Total">Calc_BPG!$J$23</definedName>
    <definedName name="ThreeYear_DualTest_Packs">Quantification!$B$72</definedName>
    <definedName name="ThreeYear_DualTests_Total">Calc_DualTests!$J$23</definedName>
    <definedName name="ThreeYear_HBsAg_Packs">Quantification!$B$123</definedName>
    <definedName name="ThreeYear_HBsAgTests_Total">Calc_HBsAgTests!$J$23</definedName>
    <definedName name="ThreeYear_Other_BPG_Packs">Quantification!$B$491</definedName>
    <definedName name="ThreeYear_Other_BPG_Total">Calc_BPG!$J$45</definedName>
    <definedName name="ThreeYear_Other_DualTest_Packs">Quantification!$B$338</definedName>
    <definedName name="ThreeYear_Other_DualTests_Total">Calc_DualTests!$J$45</definedName>
    <definedName name="ThreeYear_Other_HBsAg_Packs">Quantification!$B$389</definedName>
    <definedName name="ThreeYear_Other_HBsAgTests_Total">Calc_HBsAgTests!$J$45</definedName>
    <definedName name="ThreeYear_Other_TDF_Packs">Quantification!$B$542</definedName>
    <definedName name="ThreeYear_Other_TDF_Total">Calc_TDF!$K$45</definedName>
    <definedName name="ThreeYear_Other_TripleTest_Packs">Quantification!$B$440</definedName>
    <definedName name="ThreeYear_Other_TripleTests_Total">Calc_TripleTests!$J$45</definedName>
    <definedName name="ThreeYear_TDF_Packs">Quantification!$B$276</definedName>
    <definedName name="ThreeYear_TDF_Total">Calc_TDF!$K$23</definedName>
    <definedName name="ThreeYear_TripleTest_Packs">Quantification!$B$174</definedName>
    <definedName name="ThreeYear_TripleTests_Total">Calc_TripleTests!$J$23</definedName>
    <definedName name="Total_Budget">Calc_Budget!$F$72</definedName>
    <definedName name="TripleTest_Buffer">'Configuration + Données d''entré'!$B$110</definedName>
    <definedName name="TripleTest_Freq">'Configuration + Données d''entré'!$B$112</definedName>
    <definedName name="TripleTest_LandedCost">Calc_Budget!$B$18</definedName>
    <definedName name="TripleTest_LandedCostPerPack">Calc_Budget!$B$19</definedName>
    <definedName name="TripleTest_PackSize">'Configuration + Données d''entré'!$B$109</definedName>
    <definedName name="TripleTest_Total_Budget">Calc_Budget!$F$56</definedName>
    <definedName name="TripleTest_UnitCost">'Configuration + Données d''entré'!$B$108</definedName>
    <definedName name="TripleTest_Wastage_Rate">'Configuration + Données d''entré'!$B$111</definedName>
    <definedName name="Warehousing_Pct">'Configuration + Données d''entré'!$B$172</definedName>
    <definedName name="Wastage_Rate">'Configuration + Données d''entré'!$B$89</definedName>
    <definedName name="Y1_BPG_Budget">Calc_Budget!$F$57</definedName>
    <definedName name="Y1_BPG_Packs">Quantification!$B$222</definedName>
    <definedName name="Y1_BPG_Total">Calc_BPG!$J$19</definedName>
    <definedName name="Y1_DualTest_Budget">Calc_Budget!$F$36</definedName>
    <definedName name="Y1_DualTest_Packs">Quantification!$B$69</definedName>
    <definedName name="Y1_DualTests_Total">Calc_DualTests!$J$19</definedName>
    <definedName name="Y1_HBsAg_Packs">Quantification!$B$120</definedName>
    <definedName name="Y1_HBsAgTests_Total" localSheetId="8">Calc_HBsAgTests!$J$19</definedName>
    <definedName name="Y1_HBsAgTests_Total">Calc_HBsAgTests!$J$19</definedName>
    <definedName name="Y1_Other_BPG_Packs">Quantification!$B$488</definedName>
    <definedName name="Y1_Other_BPG_Total">Calc_BPG!$J$41</definedName>
    <definedName name="Y1_Other_DualTest_Packs">Quantification!$B$335</definedName>
    <definedName name="Y1_Other_DualTests_Total">Calc_DualTests!$J$41</definedName>
    <definedName name="Y1_Other_HBsAg_Packs">Quantification!$B$386</definedName>
    <definedName name="Y1_Other_HBsAgTests_Total">Calc_HBsAgTests!$J$41</definedName>
    <definedName name="Y1_Other_TDF_Packs">Quantification!$B$539</definedName>
    <definedName name="Y1_Other_TripleTest_Packs">Quantification!$B$437</definedName>
    <definedName name="Y1_Other_TripleTests_Total">Calc_TripleTests!$J$41</definedName>
    <definedName name="Y1_Screening_Target">'Configuration + Données d''entré'!$B$48</definedName>
    <definedName name="Y1_TDF_Packs">Quantification!$B$273</definedName>
    <definedName name="Y1_TDF_Total">Calc_TDF!$K$19</definedName>
    <definedName name="Y1_Treatment_Target">'Configuration + Données d''entré'!$B$49</definedName>
    <definedName name="Y1_TripleTest_Budget">Calc_Budget!$F$50</definedName>
    <definedName name="Y1_TripleTest_Packs">Quantification!$B$171</definedName>
    <definedName name="Y1_TripleTests_Total">Calc_TripleTests!$J$19</definedName>
    <definedName name="Y2_BPG_Budget">Calc_Budget!$F$58</definedName>
    <definedName name="Y2_BPG_Packs">Quantification!$B$223</definedName>
    <definedName name="Y2_BPG_Total">Calc_BPG!$J$20</definedName>
    <definedName name="Y2_DualTest_Budget">Calc_Budget!$F$37</definedName>
    <definedName name="Y2_DualTest_Packs">Quantification!$B$70</definedName>
    <definedName name="Y2_DualTests_Total">Calc_DualTests!$J$20</definedName>
    <definedName name="Y2_HBsAg_Packs">Quantification!$B$121</definedName>
    <definedName name="Y2_HBsAgTests_Total">Calc_HBsAgTests!$J$20</definedName>
    <definedName name="Y2_Other_BPG_Packs">Quantification!$B$489</definedName>
    <definedName name="Y2_Other_BPG_Total">Calc_BPG!$J$42</definedName>
    <definedName name="Y2_Other_DualTest_Packs">Quantification!$B$336</definedName>
    <definedName name="Y2_Other_DualTests_Total">Calc_DualTests!$J$42</definedName>
    <definedName name="Y2_Other_HBsAg_Packs">Quantification!$B$387</definedName>
    <definedName name="Y2_Other_HBsAgTests_Total">Calc_HBsAgTests!$J$42</definedName>
    <definedName name="Y2_Other_TDF_Packs">Quantification!$B$540</definedName>
    <definedName name="Y2_Other_TripleTest_Packs">Quantification!$B$438</definedName>
    <definedName name="Y2_Other_TripleTests_Total">Calc_TripleTests!$J$42</definedName>
    <definedName name="Y2_Screening_Target">'Configuration + Données d''entré'!$C$48</definedName>
    <definedName name="Y2_TDF_Packs">Quantification!$B$274</definedName>
    <definedName name="Y2_TDF_Total">Calc_TDF!$K$20</definedName>
    <definedName name="Y2_Treatment_Target">'Configuration + Données d''entré'!$C$49</definedName>
    <definedName name="Y2_TripleTest_Budget">Calc_Budget!$F$51</definedName>
    <definedName name="Y2_TripleTest_Packs">Quantification!$B$172</definedName>
    <definedName name="Y2_TripleTests_Total">Calc_TripleTests!$J$20</definedName>
    <definedName name="Y3_BPG_Budget">Calc_Budget!$F$59</definedName>
    <definedName name="Y3_BPG_Packs">Quantification!$B$224</definedName>
    <definedName name="Y3_BPG_Total">Calc_BPG!$J$21</definedName>
    <definedName name="Y3_DualTest_Budget">Calc_Budget!$F$38</definedName>
    <definedName name="Y3_DualTest_Packs">Quantification!$B$71</definedName>
    <definedName name="Y3_DualTests_Total">Calc_DualTests!$J$21</definedName>
    <definedName name="Y3_HBsAg_Packs">Quantification!$B$122</definedName>
    <definedName name="Y3_HBsAgTests_Total">Calc_HBsAgTests!$J$21</definedName>
    <definedName name="Y3_Other_BPG_Packs">Quantification!$B$490</definedName>
    <definedName name="Y3_Other_BPG_Total">Calc_BPG!$J$43</definedName>
    <definedName name="Y3_Other_DualTest_Packs">Quantification!$B$337</definedName>
    <definedName name="Y3_Other_DualTests_Total">Calc_DualTests!$J$43</definedName>
    <definedName name="Y3_Other_HBsAg_Packs">Quantification!$B$388</definedName>
    <definedName name="Y3_Other_HBsAgTests_Total">Calc_HBsAgTests!$J$43</definedName>
    <definedName name="Y3_Other_TDF_Packs">Quantification!$B$541</definedName>
    <definedName name="Y3_Other_TripleTest_Packs">Quantification!$B$439</definedName>
    <definedName name="Y3_Other_TripleTests_Total">Calc_TripleTests!$J$43</definedName>
    <definedName name="Y3_Screening_Target">'Configuration + Données d''entré'!$D$48</definedName>
    <definedName name="Y3_TDF_Packs">Quantification!$B$275</definedName>
    <definedName name="Y3_TDF_Total">Calc_TDF!$K$21</definedName>
    <definedName name="Y3_Treatment_Target">'Configuration + Données d''entré'!$D$49</definedName>
    <definedName name="Y3_TripleTest_Budget">Calc_Budget!$F$52</definedName>
    <definedName name="Y3_TripleTest_Packs">Quantification!$B$173</definedName>
    <definedName name="Y3_TripleTests_Total">Calc_TripleTests!$J$21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3" i="7" l="1"/>
  <c r="A62" i="7"/>
  <c r="A61" i="7"/>
  <c r="A60" i="7"/>
  <c r="A59" i="7"/>
  <c r="A58" i="7"/>
  <c r="A64" i="7"/>
  <c r="A310" i="7"/>
  <c r="A306" i="7"/>
  <c r="A302" i="7"/>
  <c r="A260" i="7"/>
  <c r="A256" i="7"/>
  <c r="A252" i="7"/>
  <c r="A210" i="7"/>
  <c r="A206" i="7"/>
  <c r="A202" i="7"/>
  <c r="A160" i="7"/>
  <c r="A156" i="7"/>
  <c r="A152" i="7"/>
  <c r="A110" i="7"/>
  <c r="A106" i="7"/>
  <c r="A102" i="7"/>
  <c r="A309" i="7"/>
  <c r="A305" i="7"/>
  <c r="A301" i="7"/>
  <c r="A259" i="7"/>
  <c r="A255" i="7"/>
  <c r="A251" i="7"/>
  <c r="A209" i="7"/>
  <c r="A205" i="7"/>
  <c r="A201" i="7"/>
  <c r="A159" i="7"/>
  <c r="A155" i="7"/>
  <c r="A151" i="7"/>
  <c r="A109" i="7"/>
  <c r="A105" i="7"/>
  <c r="A101" i="7"/>
  <c r="A308" i="7"/>
  <c r="A304" i="7"/>
  <c r="A300" i="7"/>
  <c r="A258" i="7"/>
  <c r="A254" i="7"/>
  <c r="A250" i="7"/>
  <c r="A208" i="7"/>
  <c r="A204" i="7"/>
  <c r="A200" i="7"/>
  <c r="A158" i="7"/>
  <c r="A154" i="7"/>
  <c r="A150" i="7"/>
  <c r="A108" i="7"/>
  <c r="A104" i="7"/>
  <c r="A100" i="7"/>
  <c r="A307" i="7"/>
  <c r="A303" i="7"/>
  <c r="A299" i="7"/>
  <c r="A257" i="7"/>
  <c r="A253" i="7"/>
  <c r="A249" i="7"/>
  <c r="A207" i="7"/>
  <c r="A203" i="7"/>
  <c r="A199" i="7"/>
  <c r="A157" i="7"/>
  <c r="A153" i="7"/>
  <c r="A149" i="7"/>
  <c r="A107" i="7"/>
  <c r="A103" i="7"/>
  <c r="A99" i="7"/>
  <c r="A289" i="7"/>
  <c r="A287" i="7"/>
  <c r="A285" i="7"/>
  <c r="A239" i="7"/>
  <c r="A237" i="7"/>
  <c r="A235" i="7"/>
  <c r="A189" i="7"/>
  <c r="A187" i="7"/>
  <c r="A185" i="7"/>
  <c r="A139" i="7"/>
  <c r="A137" i="7"/>
  <c r="A135" i="7"/>
  <c r="A89" i="7"/>
  <c r="A87" i="7"/>
  <c r="A85" i="7"/>
  <c r="A288" i="7"/>
  <c r="A286" i="7"/>
  <c r="A284" i="7"/>
  <c r="A238" i="7"/>
  <c r="A236" i="7"/>
  <c r="A234" i="7"/>
  <c r="A188" i="7"/>
  <c r="A186" i="7"/>
  <c r="A184" i="7"/>
  <c r="A138" i="7"/>
  <c r="A136" i="7"/>
  <c r="A134" i="7"/>
  <c r="A88" i="7"/>
  <c r="A86" i="7"/>
  <c r="A84" i="7"/>
  <c r="A76" i="7"/>
  <c r="A274" i="7"/>
  <c r="A224" i="7"/>
  <c r="A174" i="7"/>
  <c r="A124" i="7"/>
  <c r="A74" i="7"/>
  <c r="A273" i="7"/>
  <c r="A223" i="7"/>
  <c r="A173" i="7"/>
  <c r="A123" i="7"/>
  <c r="A73" i="7"/>
  <c r="A272" i="7"/>
  <c r="A222" i="7"/>
  <c r="A172" i="7"/>
  <c r="A122" i="7"/>
  <c r="A72" i="7"/>
  <c r="A567" i="7"/>
  <c r="A546" i="7"/>
  <c r="A531" i="7"/>
  <c r="A517" i="7"/>
  <c r="A496" i="7"/>
  <c r="A481" i="7"/>
  <c r="A467" i="7"/>
  <c r="A446" i="7"/>
  <c r="A431" i="7"/>
  <c r="A417" i="7"/>
  <c r="A396" i="7"/>
  <c r="A381" i="7"/>
  <c r="A367" i="7"/>
  <c r="A346" i="7"/>
  <c r="A331" i="7"/>
  <c r="A314" i="7"/>
  <c r="A293" i="7"/>
  <c r="A278" i="7"/>
  <c r="A264" i="7"/>
  <c r="A243" i="7"/>
  <c r="A228" i="7"/>
  <c r="A214" i="7"/>
  <c r="A193" i="7"/>
  <c r="A178" i="7"/>
  <c r="A164" i="7"/>
  <c r="A143" i="7"/>
  <c r="A128" i="7"/>
  <c r="A114" i="7"/>
  <c r="A93" i="7"/>
  <c r="A78" i="7"/>
  <c r="A566" i="7"/>
  <c r="A545" i="7"/>
  <c r="A530" i="7"/>
  <c r="A516" i="7"/>
  <c r="A495" i="7"/>
  <c r="A480" i="7"/>
  <c r="A466" i="7"/>
  <c r="A445" i="7"/>
  <c r="A430" i="7"/>
  <c r="A416" i="7"/>
  <c r="A395" i="7"/>
  <c r="A380" i="7"/>
  <c r="A366" i="7"/>
  <c r="A345" i="7"/>
  <c r="A330" i="7"/>
  <c r="A313" i="7"/>
  <c r="A292" i="7"/>
  <c r="A277" i="7"/>
  <c r="A263" i="7"/>
  <c r="A242" i="7"/>
  <c r="A227" i="7"/>
  <c r="A213" i="7"/>
  <c r="A192" i="7"/>
  <c r="A177" i="7"/>
  <c r="A163" i="7"/>
  <c r="A142" i="7"/>
  <c r="A127" i="7"/>
  <c r="A113" i="7"/>
  <c r="A92" i="7"/>
  <c r="A77" i="7"/>
  <c r="A565" i="7"/>
  <c r="A544" i="7"/>
  <c r="A529" i="7"/>
  <c r="A515" i="7"/>
  <c r="A494" i="7"/>
  <c r="A479" i="7"/>
  <c r="A465" i="7"/>
  <c r="A444" i="7"/>
  <c r="A429" i="7"/>
  <c r="A415" i="7"/>
  <c r="A394" i="7"/>
  <c r="A379" i="7"/>
  <c r="A365" i="7"/>
  <c r="A344" i="7"/>
  <c r="A329" i="7"/>
  <c r="A312" i="7"/>
  <c r="A291" i="7"/>
  <c r="A276" i="7"/>
  <c r="A262" i="7"/>
  <c r="A241" i="7"/>
  <c r="A226" i="7"/>
  <c r="A212" i="7"/>
  <c r="A191" i="7"/>
  <c r="A176" i="7"/>
  <c r="A162" i="7"/>
  <c r="A141" i="7"/>
  <c r="A126" i="7"/>
  <c r="A112" i="7"/>
  <c r="A91" i="7"/>
  <c r="A569" i="7"/>
  <c r="A548" i="7"/>
  <c r="A533" i="7"/>
  <c r="A519" i="7"/>
  <c r="A498" i="7"/>
  <c r="A483" i="7"/>
  <c r="A469" i="7"/>
  <c r="A448" i="7"/>
  <c r="A433" i="7"/>
  <c r="A419" i="7"/>
  <c r="A398" i="7"/>
  <c r="A383" i="7"/>
  <c r="A369" i="7"/>
  <c r="A348" i="7"/>
  <c r="A333" i="7"/>
  <c r="A316" i="7"/>
  <c r="A295" i="7"/>
  <c r="A280" i="7"/>
  <c r="A266" i="7"/>
  <c r="A245" i="7"/>
  <c r="A230" i="7"/>
  <c r="A216" i="7"/>
  <c r="A195" i="7"/>
  <c r="A180" i="7"/>
  <c r="A166" i="7"/>
  <c r="A145" i="7"/>
  <c r="A130" i="7"/>
  <c r="A116" i="7"/>
  <c r="A95" i="7"/>
  <c r="A80" i="7"/>
  <c r="E551" i="7"/>
  <c r="D551" i="7"/>
  <c r="E536" i="7"/>
  <c r="D536" i="7"/>
  <c r="E524" i="7"/>
  <c r="D524" i="7"/>
  <c r="E501" i="7"/>
  <c r="D501" i="7"/>
  <c r="E486" i="7"/>
  <c r="D486" i="7"/>
  <c r="E474" i="7"/>
  <c r="D474" i="7"/>
  <c r="E451" i="7"/>
  <c r="D451" i="7"/>
  <c r="E436" i="7"/>
  <c r="D436" i="7"/>
  <c r="E424" i="7"/>
  <c r="D424" i="7"/>
  <c r="E401" i="7"/>
  <c r="D401" i="7"/>
  <c r="E386" i="7"/>
  <c r="D386" i="7"/>
  <c r="E374" i="7"/>
  <c r="D374" i="7"/>
  <c r="E351" i="7"/>
  <c r="D351" i="7"/>
  <c r="E336" i="7"/>
  <c r="D336" i="7"/>
  <c r="E324" i="7"/>
  <c r="D324" i="7"/>
  <c r="E298" i="7"/>
  <c r="D298" i="7"/>
  <c r="E283" i="7"/>
  <c r="D283" i="7"/>
  <c r="E271" i="7"/>
  <c r="D271" i="7"/>
  <c r="E248" i="7"/>
  <c r="D248" i="7"/>
  <c r="E233" i="7"/>
  <c r="D233" i="7"/>
  <c r="E221" i="7"/>
  <c r="D221" i="7"/>
  <c r="E198" i="7"/>
  <c r="D198" i="7"/>
  <c r="E183" i="7"/>
  <c r="D183" i="7"/>
  <c r="E171" i="7"/>
  <c r="D171" i="7"/>
  <c r="E148" i="7"/>
  <c r="D148" i="7"/>
  <c r="E133" i="7"/>
  <c r="D133" i="7"/>
  <c r="E121" i="7"/>
  <c r="D121" i="7"/>
  <c r="E98" i="7"/>
  <c r="D98" i="7"/>
  <c r="E83" i="7"/>
  <c r="D83" i="7"/>
  <c r="C327" i="7"/>
  <c r="C326" i="7"/>
  <c r="C325" i="7"/>
  <c r="C274" i="7"/>
  <c r="C273" i="7"/>
  <c r="C272" i="7"/>
  <c r="C224" i="7"/>
  <c r="C223" i="7"/>
  <c r="C222" i="7"/>
  <c r="C174" i="7"/>
  <c r="C173" i="7"/>
  <c r="C172" i="7"/>
  <c r="C124" i="7"/>
  <c r="C123" i="7"/>
  <c r="C122" i="7"/>
  <c r="C74" i="7"/>
  <c r="C73" i="7"/>
  <c r="C72" i="7"/>
  <c r="D56" i="7"/>
  <c r="D55" i="7"/>
  <c r="D54" i="7"/>
  <c r="D50" i="7"/>
  <c r="D49" i="7"/>
  <c r="D48" i="7"/>
  <c r="D44" i="7"/>
  <c r="D43" i="7"/>
  <c r="D42" i="7"/>
  <c r="D38" i="7"/>
  <c r="D37" i="7"/>
  <c r="D36" i="7"/>
  <c r="D32" i="7"/>
  <c r="D31" i="7"/>
  <c r="D30" i="7"/>
  <c r="E71" i="7"/>
  <c r="F26" i="7"/>
  <c r="D71" i="7"/>
  <c r="E26" i="7"/>
  <c r="E17" i="7"/>
  <c r="C17" i="7"/>
  <c r="B17" i="7"/>
  <c r="A11" i="7"/>
  <c r="A535" i="11"/>
  <c r="A514" i="11"/>
  <c r="A484" i="11"/>
  <c r="A463" i="11"/>
  <c r="A433" i="11"/>
  <c r="A412" i="11"/>
  <c r="A382" i="11"/>
  <c r="A361" i="11"/>
  <c r="A331" i="11"/>
  <c r="A310" i="11"/>
  <c r="A269" i="11"/>
  <c r="A248" i="11"/>
  <c r="A218" i="11"/>
  <c r="A197" i="11"/>
  <c r="A167" i="11"/>
  <c r="A146" i="11"/>
  <c r="A116" i="11"/>
  <c r="A95" i="11"/>
  <c r="A65" i="11"/>
  <c r="A44" i="11"/>
  <c r="A534" i="11"/>
  <c r="A513" i="11"/>
  <c r="A483" i="11"/>
  <c r="A462" i="11"/>
  <c r="A432" i="11"/>
  <c r="A411" i="11"/>
  <c r="A381" i="11"/>
  <c r="A360" i="11"/>
  <c r="A330" i="11"/>
  <c r="A309" i="11"/>
  <c r="A268" i="11"/>
  <c r="A247" i="11"/>
  <c r="A217" i="11"/>
  <c r="A196" i="11"/>
  <c r="A166" i="11"/>
  <c r="A145" i="11"/>
  <c r="A115" i="11"/>
  <c r="A94" i="11"/>
  <c r="A64" i="11"/>
  <c r="A43" i="11"/>
  <c r="A533" i="11"/>
  <c r="A512" i="11"/>
  <c r="A482" i="11"/>
  <c r="A461" i="11"/>
  <c r="A431" i="11"/>
  <c r="A410" i="11"/>
  <c r="A380" i="11"/>
  <c r="A359" i="11"/>
  <c r="A329" i="11"/>
  <c r="A308" i="11"/>
  <c r="A267" i="11"/>
  <c r="A246" i="11"/>
  <c r="A216" i="11"/>
  <c r="A195" i="11"/>
  <c r="A165" i="11"/>
  <c r="A144" i="11"/>
  <c r="A114" i="11"/>
  <c r="A93" i="11"/>
  <c r="A63" i="11"/>
  <c r="A42" i="11"/>
  <c r="A531" i="11"/>
  <c r="A527" i="11"/>
  <c r="A523" i="11"/>
  <c r="A480" i="11"/>
  <c r="A476" i="11"/>
  <c r="A472" i="11"/>
  <c r="A429" i="11"/>
  <c r="A425" i="11"/>
  <c r="A421" i="11"/>
  <c r="A378" i="11"/>
  <c r="A374" i="11"/>
  <c r="A370" i="11"/>
  <c r="A327" i="11"/>
  <c r="A323" i="11"/>
  <c r="A319" i="11"/>
  <c r="A265" i="11"/>
  <c r="A261" i="11"/>
  <c r="A257" i="11"/>
  <c r="A214" i="11"/>
  <c r="A210" i="11"/>
  <c r="A206" i="11"/>
  <c r="A163" i="11"/>
  <c r="A159" i="11"/>
  <c r="A155" i="11"/>
  <c r="A112" i="11"/>
  <c r="A108" i="11"/>
  <c r="A104" i="11"/>
  <c r="A61" i="11"/>
  <c r="A57" i="11"/>
  <c r="A53" i="11"/>
  <c r="A530" i="11"/>
  <c r="A526" i="11"/>
  <c r="A522" i="11"/>
  <c r="A479" i="11"/>
  <c r="A475" i="11"/>
  <c r="A471" i="11"/>
  <c r="A428" i="11"/>
  <c r="A424" i="11"/>
  <c r="A420" i="11"/>
  <c r="A377" i="11"/>
  <c r="A373" i="11"/>
  <c r="A369" i="11"/>
  <c r="A326" i="11"/>
  <c r="A322" i="11"/>
  <c r="A318" i="11"/>
  <c r="A264" i="11"/>
  <c r="A260" i="11"/>
  <c r="A256" i="11"/>
  <c r="A213" i="11"/>
  <c r="A209" i="11"/>
  <c r="A205" i="11"/>
  <c r="A162" i="11"/>
  <c r="A158" i="11"/>
  <c r="A154" i="11"/>
  <c r="A111" i="11"/>
  <c r="A107" i="11"/>
  <c r="A103" i="11"/>
  <c r="A60" i="11"/>
  <c r="A56" i="11"/>
  <c r="A52" i="11"/>
  <c r="A529" i="11"/>
  <c r="A525" i="11"/>
  <c r="A521" i="11"/>
  <c r="A478" i="11"/>
  <c r="A474" i="11"/>
  <c r="A470" i="11"/>
  <c r="A427" i="11"/>
  <c r="A423" i="11"/>
  <c r="A419" i="11"/>
  <c r="A376" i="11"/>
  <c r="A372" i="11"/>
  <c r="A368" i="11"/>
  <c r="A325" i="11"/>
  <c r="A321" i="11"/>
  <c r="A317" i="11"/>
  <c r="A263" i="11"/>
  <c r="A259" i="11"/>
  <c r="A255" i="11"/>
  <c r="A212" i="11"/>
  <c r="A208" i="11"/>
  <c r="A204" i="11"/>
  <c r="A161" i="11"/>
  <c r="A157" i="11"/>
  <c r="A153" i="11"/>
  <c r="A110" i="11"/>
  <c r="A106" i="11"/>
  <c r="A102" i="11"/>
  <c r="A59" i="11"/>
  <c r="A55" i="11"/>
  <c r="A51" i="11"/>
  <c r="A528" i="11"/>
  <c r="A524" i="11"/>
  <c r="A520" i="11"/>
  <c r="A477" i="11"/>
  <c r="A473" i="11"/>
  <c r="A469" i="11"/>
  <c r="A426" i="11"/>
  <c r="A422" i="11"/>
  <c r="A418" i="11"/>
  <c r="A375" i="11"/>
  <c r="A371" i="11"/>
  <c r="A367" i="11"/>
  <c r="A324" i="11"/>
  <c r="A320" i="11"/>
  <c r="A316" i="11"/>
  <c r="A262" i="11"/>
  <c r="A258" i="11"/>
  <c r="A254" i="11"/>
  <c r="A211" i="11"/>
  <c r="A207" i="11"/>
  <c r="A203" i="11"/>
  <c r="A160" i="11"/>
  <c r="A156" i="11"/>
  <c r="A152" i="11"/>
  <c r="A109" i="11"/>
  <c r="A105" i="11"/>
  <c r="A101" i="11"/>
  <c r="A58" i="11"/>
  <c r="A54" i="11"/>
  <c r="A50" i="11"/>
  <c r="A510" i="11"/>
  <c r="A508" i="11"/>
  <c r="A506" i="11"/>
  <c r="H470" i="11"/>
  <c r="H469" i="11"/>
  <c r="A459" i="11"/>
  <c r="A457" i="11"/>
  <c r="A455" i="11"/>
  <c r="H454" i="11"/>
  <c r="H419" i="11"/>
  <c r="H418" i="11"/>
  <c r="A408" i="11"/>
  <c r="A406" i="11"/>
  <c r="A404" i="11"/>
  <c r="H403" i="11"/>
  <c r="H368" i="11"/>
  <c r="H367" i="11"/>
  <c r="A357" i="11"/>
  <c r="A355" i="11"/>
  <c r="A353" i="11"/>
  <c r="H352" i="11"/>
  <c r="H317" i="11"/>
  <c r="H316" i="11"/>
  <c r="A306" i="11"/>
  <c r="A304" i="11"/>
  <c r="A302" i="11"/>
  <c r="H301" i="11"/>
  <c r="A244" i="11"/>
  <c r="A242" i="11"/>
  <c r="A240" i="11"/>
  <c r="A193" i="11"/>
  <c r="A191" i="11"/>
  <c r="A189" i="11"/>
  <c r="H182" i="11"/>
  <c r="H181" i="11"/>
  <c r="A142" i="11"/>
  <c r="A140" i="11"/>
  <c r="A138" i="11"/>
  <c r="H131" i="11"/>
  <c r="H130" i="11"/>
  <c r="A91" i="11"/>
  <c r="A89" i="11"/>
  <c r="A87" i="11"/>
  <c r="H80" i="11"/>
  <c r="H79" i="11"/>
  <c r="A40" i="11"/>
  <c r="A38" i="11"/>
  <c r="A36" i="11"/>
  <c r="H29" i="11"/>
  <c r="H28" i="11"/>
  <c r="A509" i="11"/>
  <c r="A507" i="11"/>
  <c r="A505" i="11"/>
  <c r="A458" i="11"/>
  <c r="A456" i="11"/>
  <c r="A454" i="11"/>
  <c r="A407" i="11"/>
  <c r="A405" i="11"/>
  <c r="A403" i="11"/>
  <c r="A356" i="11"/>
  <c r="A354" i="11"/>
  <c r="A352" i="11"/>
  <c r="A305" i="11"/>
  <c r="A303" i="11"/>
  <c r="A301" i="11"/>
  <c r="H265" i="11"/>
  <c r="H264" i="11"/>
  <c r="H263" i="11"/>
  <c r="H262" i="11"/>
  <c r="H261" i="11"/>
  <c r="H260" i="11"/>
  <c r="H259" i="11"/>
  <c r="H258" i="11"/>
  <c r="A243" i="11"/>
  <c r="A241" i="11"/>
  <c r="A239" i="11"/>
  <c r="H214" i="11"/>
  <c r="H213" i="11"/>
  <c r="H212" i="11"/>
  <c r="H211" i="11"/>
  <c r="H210" i="11"/>
  <c r="H209" i="11"/>
  <c r="H208" i="11"/>
  <c r="H207" i="11"/>
  <c r="H193" i="11"/>
  <c r="H192" i="11"/>
  <c r="A192" i="11"/>
  <c r="H191" i="11"/>
  <c r="H190" i="11"/>
  <c r="A190" i="11"/>
  <c r="A188" i="11"/>
  <c r="H180" i="11"/>
  <c r="H163" i="11"/>
  <c r="H162" i="11"/>
  <c r="H161" i="11"/>
  <c r="H160" i="11"/>
  <c r="H159" i="11"/>
  <c r="H158" i="11"/>
  <c r="H157" i="11"/>
  <c r="H156" i="11"/>
  <c r="H142" i="11"/>
  <c r="H141" i="11"/>
  <c r="A141" i="11"/>
  <c r="H140" i="11"/>
  <c r="H139" i="11"/>
  <c r="A139" i="11"/>
  <c r="A137" i="11"/>
  <c r="H129" i="11"/>
  <c r="H112" i="11"/>
  <c r="H111" i="11"/>
  <c r="H110" i="11"/>
  <c r="H109" i="11"/>
  <c r="H108" i="11"/>
  <c r="H107" i="11"/>
  <c r="H106" i="11"/>
  <c r="H105" i="11"/>
  <c r="H91" i="11"/>
  <c r="H90" i="11"/>
  <c r="A90" i="11"/>
  <c r="H89" i="11"/>
  <c r="H88" i="11"/>
  <c r="A88" i="11"/>
  <c r="A86" i="11"/>
  <c r="H78" i="11"/>
  <c r="H61" i="11"/>
  <c r="H60" i="11"/>
  <c r="H59" i="11"/>
  <c r="H58" i="11"/>
  <c r="H57" i="11"/>
  <c r="H56" i="11"/>
  <c r="H55" i="11"/>
  <c r="H54" i="11"/>
  <c r="H40" i="11"/>
  <c r="H39" i="11"/>
  <c r="A39" i="11"/>
  <c r="H38" i="11"/>
  <c r="H37" i="11"/>
  <c r="A37" i="11"/>
  <c r="A35" i="11"/>
  <c r="H27" i="11"/>
  <c r="H19" i="11"/>
  <c r="A499" i="11"/>
  <c r="A448" i="11"/>
  <c r="A397" i="11"/>
  <c r="A346" i="11"/>
  <c r="A295" i="11"/>
  <c r="A233" i="11"/>
  <c r="A182" i="11"/>
  <c r="A131" i="11"/>
  <c r="A80" i="11"/>
  <c r="A29" i="11"/>
  <c r="A498" i="11"/>
  <c r="A447" i="11"/>
  <c r="A396" i="11"/>
  <c r="A345" i="11"/>
  <c r="A294" i="11"/>
  <c r="A232" i="11"/>
  <c r="A181" i="11"/>
  <c r="A130" i="11"/>
  <c r="A79" i="11"/>
  <c r="A28" i="11"/>
  <c r="A497" i="11"/>
  <c r="A446" i="11"/>
  <c r="A395" i="11"/>
  <c r="A344" i="11"/>
  <c r="A293" i="11"/>
  <c r="A231" i="11"/>
  <c r="A180" i="11"/>
  <c r="A129" i="11"/>
  <c r="A78" i="11"/>
  <c r="A27" i="11"/>
  <c r="A537" i="11"/>
  <c r="A516" i="11"/>
  <c r="A501" i="11"/>
  <c r="A486" i="11"/>
  <c r="A465" i="11"/>
  <c r="A450" i="11"/>
  <c r="A435" i="11"/>
  <c r="A414" i="11"/>
  <c r="A399" i="11"/>
  <c r="A384" i="11"/>
  <c r="A363" i="11"/>
  <c r="A348" i="11"/>
  <c r="A333" i="11"/>
  <c r="A312" i="11"/>
  <c r="A297" i="11"/>
  <c r="A271" i="11"/>
  <c r="A250" i="11"/>
  <c r="A235" i="11"/>
  <c r="A220" i="11"/>
  <c r="A199" i="11"/>
  <c r="A184" i="11"/>
  <c r="A169" i="11"/>
  <c r="A148" i="11"/>
  <c r="A133" i="11"/>
  <c r="A118" i="11"/>
  <c r="A97" i="11"/>
  <c r="A82" i="11"/>
  <c r="A67" i="11"/>
  <c r="A46" i="11"/>
  <c r="A31" i="11"/>
  <c r="A70" i="6"/>
  <c r="C53" i="6"/>
  <c r="A47" i="6"/>
  <c r="A46" i="6"/>
  <c r="M35" i="6"/>
  <c r="A31" i="6"/>
  <c r="B187" i="1" l="1"/>
  <c r="C182" i="1"/>
  <c r="D182" i="1"/>
  <c r="B182" i="1"/>
  <c r="A183" i="1"/>
  <c r="A182" i="1"/>
  <c r="A125" i="1"/>
  <c r="A119" i="1"/>
  <c r="A108" i="1"/>
  <c r="A97" i="1"/>
  <c r="A86" i="1"/>
  <c r="D475" i="7" l="1"/>
  <c r="E274" i="7"/>
  <c r="D274" i="7"/>
  <c r="B274" i="7"/>
  <c r="E273" i="7"/>
  <c r="D273" i="7"/>
  <c r="B273" i="7"/>
  <c r="E272" i="7"/>
  <c r="D272" i="7"/>
  <c r="B272" i="7"/>
  <c r="E224" i="7"/>
  <c r="D224" i="7"/>
  <c r="B224" i="7"/>
  <c r="E223" i="7"/>
  <c r="D223" i="7"/>
  <c r="B223" i="7"/>
  <c r="E222" i="7"/>
  <c r="D222" i="7"/>
  <c r="B222" i="7"/>
  <c r="E174" i="7"/>
  <c r="D174" i="7"/>
  <c r="B174" i="7"/>
  <c r="E173" i="7"/>
  <c r="D173" i="7"/>
  <c r="B173" i="7"/>
  <c r="E172" i="7"/>
  <c r="D172" i="7"/>
  <c r="B172" i="7"/>
  <c r="E124" i="7"/>
  <c r="D124" i="7"/>
  <c r="B124" i="7"/>
  <c r="E123" i="7"/>
  <c r="D123" i="7"/>
  <c r="B123" i="7"/>
  <c r="E122" i="7"/>
  <c r="D122" i="7"/>
  <c r="B122" i="7"/>
  <c r="E74" i="7"/>
  <c r="D74" i="7"/>
  <c r="B74" i="7"/>
  <c r="E73" i="7"/>
  <c r="D73" i="7"/>
  <c r="B73" i="7"/>
  <c r="E72" i="7"/>
  <c r="D72" i="7"/>
  <c r="B72" i="7"/>
  <c r="B541" i="11"/>
  <c r="B540" i="11"/>
  <c r="B539" i="11"/>
  <c r="M501" i="11"/>
  <c r="K501" i="11"/>
  <c r="M499" i="11"/>
  <c r="L499" i="11"/>
  <c r="K499" i="11"/>
  <c r="J499" i="11"/>
  <c r="I499" i="11"/>
  <c r="H499" i="11"/>
  <c r="G499" i="11"/>
  <c r="F499" i="11"/>
  <c r="E499" i="11"/>
  <c r="D499" i="11"/>
  <c r="C499" i="11"/>
  <c r="B499" i="11"/>
  <c r="M498" i="11"/>
  <c r="L498" i="11"/>
  <c r="K498" i="11"/>
  <c r="J498" i="11"/>
  <c r="I498" i="11"/>
  <c r="H498" i="11"/>
  <c r="G498" i="11"/>
  <c r="F498" i="11"/>
  <c r="E498" i="11"/>
  <c r="D498" i="11"/>
  <c r="C498" i="11"/>
  <c r="B498" i="11"/>
  <c r="M497" i="11"/>
  <c r="L497" i="11"/>
  <c r="K497" i="11"/>
  <c r="J497" i="11"/>
  <c r="I497" i="11"/>
  <c r="H497" i="11"/>
  <c r="G497" i="11"/>
  <c r="F497" i="11"/>
  <c r="E497" i="11"/>
  <c r="D497" i="11"/>
  <c r="C497" i="11"/>
  <c r="B497" i="11"/>
  <c r="B490" i="11"/>
  <c r="B489" i="11"/>
  <c r="B488" i="11"/>
  <c r="B491" i="11" s="1"/>
  <c r="L450" i="11"/>
  <c r="J450" i="11"/>
  <c r="L448" i="11"/>
  <c r="K448" i="11"/>
  <c r="J448" i="11"/>
  <c r="I448" i="11"/>
  <c r="H448" i="11"/>
  <c r="G448" i="11"/>
  <c r="F448" i="11"/>
  <c r="E448" i="11"/>
  <c r="D448" i="11"/>
  <c r="C448" i="11"/>
  <c r="B448" i="11"/>
  <c r="L447" i="11"/>
  <c r="K447" i="11"/>
  <c r="J447" i="11"/>
  <c r="I447" i="11"/>
  <c r="H447" i="11"/>
  <c r="G447" i="11"/>
  <c r="F447" i="11"/>
  <c r="E447" i="11"/>
  <c r="D447" i="11"/>
  <c r="C447" i="11"/>
  <c r="B447" i="11"/>
  <c r="L446" i="11"/>
  <c r="K446" i="11"/>
  <c r="J446" i="11"/>
  <c r="I446" i="11"/>
  <c r="H446" i="11"/>
  <c r="G446" i="11"/>
  <c r="F446" i="11"/>
  <c r="E446" i="11"/>
  <c r="D446" i="11"/>
  <c r="C446" i="11"/>
  <c r="B446" i="11"/>
  <c r="B439" i="11"/>
  <c r="B438" i="11"/>
  <c r="B437" i="11"/>
  <c r="L399" i="11"/>
  <c r="J399" i="11"/>
  <c r="L397" i="11"/>
  <c r="K397" i="11"/>
  <c r="J397" i="11"/>
  <c r="I397" i="11"/>
  <c r="H397" i="11"/>
  <c r="G397" i="11"/>
  <c r="F397" i="11"/>
  <c r="E397" i="11"/>
  <c r="D397" i="11"/>
  <c r="C397" i="11"/>
  <c r="B397" i="11"/>
  <c r="L396" i="11"/>
  <c r="K396" i="11"/>
  <c r="J396" i="11"/>
  <c r="I396" i="11"/>
  <c r="H396" i="11"/>
  <c r="G396" i="11"/>
  <c r="F396" i="11"/>
  <c r="E396" i="11"/>
  <c r="D396" i="11"/>
  <c r="C396" i="11"/>
  <c r="B396" i="11"/>
  <c r="L395" i="11"/>
  <c r="K395" i="11"/>
  <c r="J395" i="11"/>
  <c r="I395" i="11"/>
  <c r="H395" i="11"/>
  <c r="G395" i="11"/>
  <c r="F395" i="11"/>
  <c r="E395" i="11"/>
  <c r="D395" i="11"/>
  <c r="C395" i="11"/>
  <c r="B395" i="11"/>
  <c r="B388" i="11"/>
  <c r="B387" i="11"/>
  <c r="B386" i="11"/>
  <c r="B389" i="11" s="1"/>
  <c r="L348" i="11"/>
  <c r="J348" i="11"/>
  <c r="L346" i="11"/>
  <c r="K346" i="11"/>
  <c r="J346" i="11"/>
  <c r="I346" i="11"/>
  <c r="H346" i="11"/>
  <c r="G346" i="11"/>
  <c r="F346" i="11"/>
  <c r="E346" i="11"/>
  <c r="D346" i="11"/>
  <c r="C346" i="11"/>
  <c r="B346" i="11"/>
  <c r="L345" i="11"/>
  <c r="K345" i="11"/>
  <c r="J345" i="11"/>
  <c r="I345" i="11"/>
  <c r="H345" i="11"/>
  <c r="G345" i="11"/>
  <c r="F345" i="11"/>
  <c r="E345" i="11"/>
  <c r="D345" i="11"/>
  <c r="C345" i="11"/>
  <c r="B345" i="11"/>
  <c r="L344" i="11"/>
  <c r="K344" i="11"/>
  <c r="J344" i="11"/>
  <c r="I344" i="11"/>
  <c r="H344" i="11"/>
  <c r="G344" i="11"/>
  <c r="F344" i="11"/>
  <c r="E344" i="11"/>
  <c r="D344" i="11"/>
  <c r="C344" i="11"/>
  <c r="B344" i="11"/>
  <c r="B337" i="11"/>
  <c r="B336" i="11"/>
  <c r="B335" i="11"/>
  <c r="L297" i="11"/>
  <c r="J297" i="11"/>
  <c r="L295" i="11"/>
  <c r="K295" i="11"/>
  <c r="J295" i="11"/>
  <c r="I295" i="11"/>
  <c r="H295" i="11"/>
  <c r="G295" i="11"/>
  <c r="F295" i="11"/>
  <c r="E295" i="11"/>
  <c r="D295" i="11"/>
  <c r="C295" i="11"/>
  <c r="B295" i="11"/>
  <c r="L294" i="11"/>
  <c r="K294" i="11"/>
  <c r="J294" i="11"/>
  <c r="I294" i="11"/>
  <c r="H294" i="11"/>
  <c r="G294" i="11"/>
  <c r="F294" i="11"/>
  <c r="E294" i="11"/>
  <c r="D294" i="11"/>
  <c r="C294" i="11"/>
  <c r="B294" i="11"/>
  <c r="L293" i="11"/>
  <c r="K293" i="11"/>
  <c r="J293" i="11"/>
  <c r="I293" i="11"/>
  <c r="H293" i="11"/>
  <c r="G293" i="11"/>
  <c r="F293" i="11"/>
  <c r="E293" i="11"/>
  <c r="D293" i="11"/>
  <c r="C293" i="11"/>
  <c r="B293" i="11"/>
  <c r="B275" i="11"/>
  <c r="B274" i="11"/>
  <c r="B273" i="11"/>
  <c r="M235" i="11"/>
  <c r="K235" i="11"/>
  <c r="M233" i="11"/>
  <c r="L233" i="11"/>
  <c r="K233" i="11"/>
  <c r="J233" i="11"/>
  <c r="I233" i="11"/>
  <c r="H233" i="11"/>
  <c r="G233" i="11"/>
  <c r="F233" i="11"/>
  <c r="E233" i="11"/>
  <c r="D233" i="11"/>
  <c r="C233" i="11"/>
  <c r="B233" i="11"/>
  <c r="M232" i="11"/>
  <c r="L232" i="11"/>
  <c r="K232" i="11"/>
  <c r="J232" i="11"/>
  <c r="I232" i="11"/>
  <c r="H232" i="11"/>
  <c r="G232" i="11"/>
  <c r="F232" i="11"/>
  <c r="E232" i="11"/>
  <c r="D232" i="11"/>
  <c r="C232" i="11"/>
  <c r="B232" i="11"/>
  <c r="M231" i="11"/>
  <c r="L231" i="11"/>
  <c r="K231" i="11"/>
  <c r="J231" i="11"/>
  <c r="I231" i="11"/>
  <c r="H231" i="11"/>
  <c r="G231" i="11"/>
  <c r="F231" i="11"/>
  <c r="E231" i="11"/>
  <c r="D231" i="11"/>
  <c r="C231" i="11"/>
  <c r="B231" i="11"/>
  <c r="B224" i="11"/>
  <c r="B223" i="11"/>
  <c r="B222" i="11"/>
  <c r="L184" i="11"/>
  <c r="J184" i="11"/>
  <c r="L182" i="11"/>
  <c r="K182" i="11"/>
  <c r="J182" i="11"/>
  <c r="I182" i="11"/>
  <c r="G182" i="11"/>
  <c r="F182" i="11"/>
  <c r="E182" i="11"/>
  <c r="D182" i="11"/>
  <c r="C182" i="11"/>
  <c r="B182" i="11"/>
  <c r="L181" i="11"/>
  <c r="K181" i="11"/>
  <c r="J181" i="11"/>
  <c r="I181" i="11"/>
  <c r="G181" i="11"/>
  <c r="F181" i="11"/>
  <c r="E181" i="11"/>
  <c r="D181" i="11"/>
  <c r="C181" i="11"/>
  <c r="B181" i="11"/>
  <c r="L180" i="11"/>
  <c r="K180" i="11"/>
  <c r="J180" i="11"/>
  <c r="I180" i="11"/>
  <c r="G180" i="11"/>
  <c r="F180" i="11"/>
  <c r="E180" i="11"/>
  <c r="D180" i="11"/>
  <c r="C180" i="11"/>
  <c r="B180" i="11"/>
  <c r="B173" i="11"/>
  <c r="B172" i="11"/>
  <c r="B171" i="11"/>
  <c r="L133" i="11"/>
  <c r="J133" i="11"/>
  <c r="L131" i="11"/>
  <c r="K131" i="11"/>
  <c r="J131" i="11"/>
  <c r="I131" i="11"/>
  <c r="G131" i="11"/>
  <c r="F131" i="11"/>
  <c r="E131" i="11"/>
  <c r="D131" i="11"/>
  <c r="C131" i="11"/>
  <c r="B131" i="11"/>
  <c r="L130" i="11"/>
  <c r="K130" i="11"/>
  <c r="J130" i="11"/>
  <c r="I130" i="11"/>
  <c r="G130" i="11"/>
  <c r="F130" i="11"/>
  <c r="E130" i="11"/>
  <c r="D130" i="11"/>
  <c r="C130" i="11"/>
  <c r="B130" i="11"/>
  <c r="L129" i="11"/>
  <c r="K129" i="11"/>
  <c r="J129" i="11"/>
  <c r="I129" i="11"/>
  <c r="G129" i="11"/>
  <c r="F129" i="11"/>
  <c r="E129" i="11"/>
  <c r="D129" i="11"/>
  <c r="C129" i="11"/>
  <c r="B129" i="11"/>
  <c r="B122" i="11"/>
  <c r="B121" i="11"/>
  <c r="B120" i="11"/>
  <c r="L82" i="11"/>
  <c r="J82" i="11"/>
  <c r="L80" i="11"/>
  <c r="K80" i="11"/>
  <c r="J80" i="11"/>
  <c r="I80" i="11"/>
  <c r="G80" i="11"/>
  <c r="F80" i="11"/>
  <c r="E80" i="11"/>
  <c r="D80" i="11"/>
  <c r="C80" i="11"/>
  <c r="B80" i="11"/>
  <c r="L79" i="11"/>
  <c r="K79" i="11"/>
  <c r="J79" i="11"/>
  <c r="I79" i="11"/>
  <c r="G79" i="11"/>
  <c r="F79" i="11"/>
  <c r="E79" i="11"/>
  <c r="D79" i="11"/>
  <c r="C79" i="11"/>
  <c r="B79" i="11"/>
  <c r="L78" i="11"/>
  <c r="K78" i="11"/>
  <c r="J78" i="11"/>
  <c r="I78" i="11"/>
  <c r="G78" i="11"/>
  <c r="F78" i="11"/>
  <c r="E78" i="11"/>
  <c r="D78" i="11"/>
  <c r="C78" i="11"/>
  <c r="B78" i="11"/>
  <c r="L31" i="11"/>
  <c r="J31" i="11"/>
  <c r="L29" i="11"/>
  <c r="K29" i="11"/>
  <c r="J29" i="11"/>
  <c r="I29" i="11"/>
  <c r="G29" i="11"/>
  <c r="F29" i="11"/>
  <c r="E29" i="11"/>
  <c r="D29" i="11"/>
  <c r="C29" i="11"/>
  <c r="B29" i="11"/>
  <c r="L28" i="11"/>
  <c r="K28" i="11"/>
  <c r="J28" i="11"/>
  <c r="I28" i="11"/>
  <c r="G28" i="11"/>
  <c r="F28" i="11"/>
  <c r="E28" i="11"/>
  <c r="D28" i="11"/>
  <c r="C28" i="11"/>
  <c r="B28" i="11"/>
  <c r="L27" i="11"/>
  <c r="K27" i="11"/>
  <c r="J27" i="11"/>
  <c r="I27" i="11"/>
  <c r="G27" i="11"/>
  <c r="F27" i="11"/>
  <c r="E27" i="11"/>
  <c r="D27" i="11"/>
  <c r="C27" i="11"/>
  <c r="B27" i="11"/>
  <c r="E310" i="7"/>
  <c r="D310" i="7"/>
  <c r="C310" i="7"/>
  <c r="B310" i="7"/>
  <c r="E309" i="7"/>
  <c r="D309" i="7"/>
  <c r="C309" i="7"/>
  <c r="B309" i="7"/>
  <c r="E308" i="7"/>
  <c r="D308" i="7"/>
  <c r="C308" i="7"/>
  <c r="B308" i="7"/>
  <c r="E307" i="7"/>
  <c r="D307" i="7"/>
  <c r="C307" i="7"/>
  <c r="B307" i="7"/>
  <c r="E306" i="7"/>
  <c r="D306" i="7"/>
  <c r="C306" i="7"/>
  <c r="B306" i="7"/>
  <c r="E305" i="7"/>
  <c r="D305" i="7"/>
  <c r="C305" i="7"/>
  <c r="B305" i="7"/>
  <c r="E304" i="7"/>
  <c r="D304" i="7"/>
  <c r="C304" i="7"/>
  <c r="B304" i="7"/>
  <c r="E303" i="7"/>
  <c r="D303" i="7"/>
  <c r="C303" i="7"/>
  <c r="B303" i="7"/>
  <c r="E302" i="7"/>
  <c r="D302" i="7"/>
  <c r="C302" i="7"/>
  <c r="B302" i="7"/>
  <c r="E301" i="7"/>
  <c r="D301" i="7"/>
  <c r="C301" i="7"/>
  <c r="B301" i="7"/>
  <c r="E300" i="7"/>
  <c r="D300" i="7"/>
  <c r="C300" i="7"/>
  <c r="B300" i="7"/>
  <c r="E299" i="7"/>
  <c r="D299" i="7"/>
  <c r="C299" i="7"/>
  <c r="B299" i="7"/>
  <c r="E260" i="7"/>
  <c r="D260" i="7"/>
  <c r="C260" i="7"/>
  <c r="B260" i="7"/>
  <c r="E259" i="7"/>
  <c r="D259" i="7"/>
  <c r="C259" i="7"/>
  <c r="B259" i="7"/>
  <c r="E258" i="7"/>
  <c r="D258" i="7"/>
  <c r="C258" i="7"/>
  <c r="B258" i="7"/>
  <c r="E257" i="7"/>
  <c r="D257" i="7"/>
  <c r="C257" i="7"/>
  <c r="B257" i="7"/>
  <c r="E256" i="7"/>
  <c r="D256" i="7"/>
  <c r="C256" i="7"/>
  <c r="B256" i="7"/>
  <c r="E255" i="7"/>
  <c r="D255" i="7"/>
  <c r="C255" i="7"/>
  <c r="B255" i="7"/>
  <c r="E254" i="7"/>
  <c r="D254" i="7"/>
  <c r="C254" i="7"/>
  <c r="B254" i="7"/>
  <c r="E253" i="7"/>
  <c r="D253" i="7"/>
  <c r="C253" i="7"/>
  <c r="B253" i="7"/>
  <c r="E252" i="7"/>
  <c r="D252" i="7"/>
  <c r="C252" i="7"/>
  <c r="B252" i="7"/>
  <c r="E251" i="7"/>
  <c r="D251" i="7"/>
  <c r="C251" i="7"/>
  <c r="B251" i="7"/>
  <c r="E250" i="7"/>
  <c r="D250" i="7"/>
  <c r="C250" i="7"/>
  <c r="B250" i="7"/>
  <c r="E249" i="7"/>
  <c r="D249" i="7"/>
  <c r="C249" i="7"/>
  <c r="B249" i="7"/>
  <c r="E210" i="7"/>
  <c r="D210" i="7"/>
  <c r="C210" i="7"/>
  <c r="B210" i="7"/>
  <c r="E209" i="7"/>
  <c r="D209" i="7"/>
  <c r="C209" i="7"/>
  <c r="B209" i="7"/>
  <c r="E208" i="7"/>
  <c r="D208" i="7"/>
  <c r="C208" i="7"/>
  <c r="B208" i="7"/>
  <c r="E207" i="7"/>
  <c r="D207" i="7"/>
  <c r="C207" i="7"/>
  <c r="B207" i="7"/>
  <c r="E206" i="7"/>
  <c r="D206" i="7"/>
  <c r="C206" i="7"/>
  <c r="B206" i="7"/>
  <c r="E205" i="7"/>
  <c r="D205" i="7"/>
  <c r="C205" i="7"/>
  <c r="B205" i="7"/>
  <c r="E204" i="7"/>
  <c r="D204" i="7"/>
  <c r="C204" i="7"/>
  <c r="B204" i="7"/>
  <c r="E203" i="7"/>
  <c r="D203" i="7"/>
  <c r="C203" i="7"/>
  <c r="B203" i="7"/>
  <c r="E202" i="7"/>
  <c r="D202" i="7"/>
  <c r="C202" i="7"/>
  <c r="B202" i="7"/>
  <c r="E201" i="7"/>
  <c r="D201" i="7"/>
  <c r="C201" i="7"/>
  <c r="B201" i="7"/>
  <c r="E200" i="7"/>
  <c r="D200" i="7"/>
  <c r="C200" i="7"/>
  <c r="B200" i="7"/>
  <c r="E199" i="7"/>
  <c r="D199" i="7"/>
  <c r="C199" i="7"/>
  <c r="B199" i="7"/>
  <c r="E160" i="7"/>
  <c r="D160" i="7"/>
  <c r="C160" i="7"/>
  <c r="B160" i="7"/>
  <c r="E159" i="7"/>
  <c r="D159" i="7"/>
  <c r="C159" i="7"/>
  <c r="B159" i="7"/>
  <c r="E158" i="7"/>
  <c r="D158" i="7"/>
  <c r="C158" i="7"/>
  <c r="B158" i="7"/>
  <c r="E157" i="7"/>
  <c r="D157" i="7"/>
  <c r="C157" i="7"/>
  <c r="B157" i="7"/>
  <c r="E156" i="7"/>
  <c r="D156" i="7"/>
  <c r="C156" i="7"/>
  <c r="B156" i="7"/>
  <c r="E155" i="7"/>
  <c r="D155" i="7"/>
  <c r="C155" i="7"/>
  <c r="B155" i="7"/>
  <c r="E154" i="7"/>
  <c r="D154" i="7"/>
  <c r="C154" i="7"/>
  <c r="B154" i="7"/>
  <c r="E153" i="7"/>
  <c r="D153" i="7"/>
  <c r="C153" i="7"/>
  <c r="B153" i="7"/>
  <c r="E152" i="7"/>
  <c r="D152" i="7"/>
  <c r="C152" i="7"/>
  <c r="B152" i="7"/>
  <c r="E151" i="7"/>
  <c r="D151" i="7"/>
  <c r="C151" i="7"/>
  <c r="B151" i="7"/>
  <c r="E150" i="7"/>
  <c r="D150" i="7"/>
  <c r="C150" i="7"/>
  <c r="B150" i="7"/>
  <c r="E149" i="7"/>
  <c r="D149" i="7"/>
  <c r="C149" i="7"/>
  <c r="B149" i="7"/>
  <c r="B110" i="7"/>
  <c r="B109" i="7"/>
  <c r="B108" i="7"/>
  <c r="B107" i="7"/>
  <c r="B106" i="7"/>
  <c r="B105" i="7"/>
  <c r="B104" i="7"/>
  <c r="B103" i="7"/>
  <c r="B102" i="7"/>
  <c r="C101" i="7"/>
  <c r="B101" i="7"/>
  <c r="B100" i="7"/>
  <c r="B99" i="7"/>
  <c r="M537" i="11"/>
  <c r="K537" i="11"/>
  <c r="M535" i="11"/>
  <c r="K535" i="11"/>
  <c r="M534" i="11"/>
  <c r="K534" i="11"/>
  <c r="M533" i="11"/>
  <c r="K533" i="11"/>
  <c r="M531" i="11"/>
  <c r="L531" i="11"/>
  <c r="K531" i="11"/>
  <c r="J531" i="11"/>
  <c r="I531" i="11"/>
  <c r="H531" i="11"/>
  <c r="G531" i="11"/>
  <c r="F531" i="11"/>
  <c r="E531" i="11"/>
  <c r="D531" i="11"/>
  <c r="C531" i="11"/>
  <c r="B531" i="11"/>
  <c r="M530" i="11"/>
  <c r="L530" i="11"/>
  <c r="K530" i="11"/>
  <c r="J530" i="11"/>
  <c r="I530" i="11"/>
  <c r="H530" i="11"/>
  <c r="G530" i="11"/>
  <c r="F530" i="11"/>
  <c r="E530" i="11"/>
  <c r="D530" i="11"/>
  <c r="C530" i="11"/>
  <c r="B530" i="11"/>
  <c r="M529" i="11"/>
  <c r="L529" i="11"/>
  <c r="K529" i="11"/>
  <c r="J529" i="11"/>
  <c r="I529" i="11"/>
  <c r="H529" i="11"/>
  <c r="G529" i="11"/>
  <c r="F529" i="11"/>
  <c r="E529" i="11"/>
  <c r="D529" i="11"/>
  <c r="C529" i="11"/>
  <c r="B529" i="11"/>
  <c r="M528" i="11"/>
  <c r="L528" i="11"/>
  <c r="K528" i="11"/>
  <c r="J528" i="11"/>
  <c r="I528" i="11"/>
  <c r="H528" i="11"/>
  <c r="G528" i="11"/>
  <c r="F528" i="11"/>
  <c r="E528" i="11"/>
  <c r="D528" i="11"/>
  <c r="C528" i="11"/>
  <c r="B528" i="11"/>
  <c r="M527" i="11"/>
  <c r="L527" i="11"/>
  <c r="K527" i="11"/>
  <c r="J527" i="11"/>
  <c r="I527" i="11"/>
  <c r="H527" i="11"/>
  <c r="G527" i="11"/>
  <c r="F527" i="11"/>
  <c r="E527" i="11"/>
  <c r="D527" i="11"/>
  <c r="C527" i="11"/>
  <c r="B527" i="11"/>
  <c r="M526" i="11"/>
  <c r="L526" i="11"/>
  <c r="K526" i="11"/>
  <c r="J526" i="11"/>
  <c r="I526" i="11"/>
  <c r="H526" i="11"/>
  <c r="G526" i="11"/>
  <c r="F526" i="11"/>
  <c r="E526" i="11"/>
  <c r="D526" i="11"/>
  <c r="C526" i="11"/>
  <c r="B526" i="11"/>
  <c r="M525" i="11"/>
  <c r="L525" i="11"/>
  <c r="K525" i="11"/>
  <c r="J525" i="11"/>
  <c r="I525" i="11"/>
  <c r="H525" i="11"/>
  <c r="G525" i="11"/>
  <c r="F525" i="11"/>
  <c r="E525" i="11"/>
  <c r="D525" i="11"/>
  <c r="C525" i="11"/>
  <c r="B525" i="11"/>
  <c r="M524" i="11"/>
  <c r="L524" i="11"/>
  <c r="K524" i="11"/>
  <c r="J524" i="11"/>
  <c r="I524" i="11"/>
  <c r="H524" i="11"/>
  <c r="G524" i="11"/>
  <c r="F524" i="11"/>
  <c r="E524" i="11"/>
  <c r="D524" i="11"/>
  <c r="C524" i="11"/>
  <c r="B524" i="11"/>
  <c r="M523" i="11"/>
  <c r="L523" i="11"/>
  <c r="K523" i="11"/>
  <c r="J523" i="11"/>
  <c r="I523" i="11"/>
  <c r="H523" i="11"/>
  <c r="G523" i="11"/>
  <c r="F523" i="11"/>
  <c r="E523" i="11"/>
  <c r="D523" i="11"/>
  <c r="C523" i="11"/>
  <c r="B523" i="11"/>
  <c r="M522" i="11"/>
  <c r="L522" i="11"/>
  <c r="K522" i="11"/>
  <c r="J522" i="11"/>
  <c r="I522" i="11"/>
  <c r="H522" i="11"/>
  <c r="G522" i="11"/>
  <c r="F522" i="11"/>
  <c r="E522" i="11"/>
  <c r="D522" i="11"/>
  <c r="C522" i="11"/>
  <c r="B522" i="11"/>
  <c r="M521" i="11"/>
  <c r="L521" i="11"/>
  <c r="K521" i="11"/>
  <c r="J521" i="11"/>
  <c r="I521" i="11"/>
  <c r="H521" i="11"/>
  <c r="G521" i="11"/>
  <c r="F521" i="11"/>
  <c r="E521" i="11"/>
  <c r="D521" i="11"/>
  <c r="C521" i="11"/>
  <c r="B521" i="11"/>
  <c r="M520" i="11"/>
  <c r="L520" i="11"/>
  <c r="K520" i="11"/>
  <c r="J520" i="11"/>
  <c r="I520" i="11"/>
  <c r="H520" i="11"/>
  <c r="G520" i="11"/>
  <c r="F520" i="11"/>
  <c r="E520" i="11"/>
  <c r="D520" i="11"/>
  <c r="C520" i="11"/>
  <c r="B520" i="11"/>
  <c r="L486" i="11"/>
  <c r="J486" i="11"/>
  <c r="L484" i="11"/>
  <c r="J484" i="11"/>
  <c r="L483" i="11"/>
  <c r="J483" i="11"/>
  <c r="L482" i="11"/>
  <c r="J482" i="11"/>
  <c r="L480" i="11"/>
  <c r="K480" i="11"/>
  <c r="J480" i="11"/>
  <c r="I480" i="11"/>
  <c r="H480" i="11"/>
  <c r="G480" i="11"/>
  <c r="F480" i="11"/>
  <c r="E480" i="11"/>
  <c r="D480" i="11"/>
  <c r="C480" i="11"/>
  <c r="B480" i="11"/>
  <c r="L479" i="11"/>
  <c r="K479" i="11"/>
  <c r="J479" i="11"/>
  <c r="I479" i="11"/>
  <c r="H479" i="11"/>
  <c r="G479" i="11"/>
  <c r="F479" i="11"/>
  <c r="E479" i="11"/>
  <c r="D479" i="11"/>
  <c r="C479" i="11"/>
  <c r="B479" i="11"/>
  <c r="L478" i="11"/>
  <c r="K478" i="11"/>
  <c r="J478" i="11"/>
  <c r="I478" i="11"/>
  <c r="H478" i="11"/>
  <c r="G478" i="11"/>
  <c r="F478" i="11"/>
  <c r="E478" i="11"/>
  <c r="D478" i="11"/>
  <c r="C478" i="11"/>
  <c r="B478" i="11"/>
  <c r="L477" i="11"/>
  <c r="K477" i="11"/>
  <c r="J477" i="11"/>
  <c r="I477" i="11"/>
  <c r="H477" i="11"/>
  <c r="G477" i="11"/>
  <c r="F477" i="11"/>
  <c r="E477" i="11"/>
  <c r="D477" i="11"/>
  <c r="C477" i="11"/>
  <c r="B477" i="11"/>
  <c r="L476" i="11"/>
  <c r="K476" i="11"/>
  <c r="J476" i="11"/>
  <c r="I476" i="11"/>
  <c r="H476" i="11"/>
  <c r="G476" i="11"/>
  <c r="F476" i="11"/>
  <c r="E476" i="11"/>
  <c r="D476" i="11"/>
  <c r="C476" i="11"/>
  <c r="B476" i="11"/>
  <c r="L475" i="11"/>
  <c r="K475" i="11"/>
  <c r="J475" i="11"/>
  <c r="I475" i="11"/>
  <c r="H475" i="11"/>
  <c r="G475" i="11"/>
  <c r="F475" i="11"/>
  <c r="E475" i="11"/>
  <c r="D475" i="11"/>
  <c r="C475" i="11"/>
  <c r="B475" i="11"/>
  <c r="L474" i="11"/>
  <c r="K474" i="11"/>
  <c r="J474" i="11"/>
  <c r="I474" i="11"/>
  <c r="H474" i="11"/>
  <c r="G474" i="11"/>
  <c r="F474" i="11"/>
  <c r="E474" i="11"/>
  <c r="D474" i="11"/>
  <c r="C474" i="11"/>
  <c r="B474" i="11"/>
  <c r="L473" i="11"/>
  <c r="K473" i="11"/>
  <c r="J473" i="11"/>
  <c r="I473" i="11"/>
  <c r="H473" i="11"/>
  <c r="G473" i="11"/>
  <c r="F473" i="11"/>
  <c r="E473" i="11"/>
  <c r="D473" i="11"/>
  <c r="C473" i="11"/>
  <c r="B473" i="11"/>
  <c r="L472" i="11"/>
  <c r="K472" i="11"/>
  <c r="J472" i="11"/>
  <c r="I472" i="11"/>
  <c r="H472" i="11"/>
  <c r="G472" i="11"/>
  <c r="F472" i="11"/>
  <c r="E472" i="11"/>
  <c r="D472" i="11"/>
  <c r="C472" i="11"/>
  <c r="B472" i="11"/>
  <c r="L471" i="11"/>
  <c r="K471" i="11"/>
  <c r="J471" i="11"/>
  <c r="I471" i="11"/>
  <c r="H471" i="11"/>
  <c r="G471" i="11"/>
  <c r="F471" i="11"/>
  <c r="E471" i="11"/>
  <c r="D471" i="11"/>
  <c r="C471" i="11"/>
  <c r="B471" i="11"/>
  <c r="L470" i="11"/>
  <c r="K470" i="11"/>
  <c r="J470" i="11"/>
  <c r="I470" i="11"/>
  <c r="G470" i="11"/>
  <c r="F470" i="11"/>
  <c r="E470" i="11"/>
  <c r="D470" i="11"/>
  <c r="C470" i="11"/>
  <c r="B470" i="11"/>
  <c r="L469" i="11"/>
  <c r="K469" i="11"/>
  <c r="J469" i="11"/>
  <c r="I469" i="11"/>
  <c r="G469" i="11"/>
  <c r="F469" i="11"/>
  <c r="E469" i="11"/>
  <c r="D469" i="11"/>
  <c r="C469" i="11"/>
  <c r="B469" i="11"/>
  <c r="L435" i="11"/>
  <c r="J435" i="11"/>
  <c r="L433" i="11"/>
  <c r="J433" i="11"/>
  <c r="L432" i="11"/>
  <c r="J432" i="11"/>
  <c r="L431" i="11"/>
  <c r="J431" i="11"/>
  <c r="L429" i="11"/>
  <c r="K429" i="11"/>
  <c r="J429" i="11"/>
  <c r="I429" i="11"/>
  <c r="H429" i="11"/>
  <c r="G429" i="11"/>
  <c r="F429" i="11"/>
  <c r="E429" i="11"/>
  <c r="D429" i="11"/>
  <c r="C429" i="11"/>
  <c r="B429" i="11"/>
  <c r="L428" i="11"/>
  <c r="K428" i="11"/>
  <c r="J428" i="11"/>
  <c r="I428" i="11"/>
  <c r="H428" i="11"/>
  <c r="G428" i="11"/>
  <c r="F428" i="11"/>
  <c r="E428" i="11"/>
  <c r="D428" i="11"/>
  <c r="C428" i="11"/>
  <c r="B428" i="11"/>
  <c r="L427" i="11"/>
  <c r="K427" i="11"/>
  <c r="J427" i="11"/>
  <c r="I427" i="11"/>
  <c r="H427" i="11"/>
  <c r="G427" i="11"/>
  <c r="F427" i="11"/>
  <c r="E427" i="11"/>
  <c r="D427" i="11"/>
  <c r="C427" i="11"/>
  <c r="B427" i="11"/>
  <c r="L426" i="11"/>
  <c r="K426" i="11"/>
  <c r="J426" i="11"/>
  <c r="I426" i="11"/>
  <c r="H426" i="11"/>
  <c r="G426" i="11"/>
  <c r="F426" i="11"/>
  <c r="E426" i="11"/>
  <c r="D426" i="11"/>
  <c r="C426" i="11"/>
  <c r="B426" i="11"/>
  <c r="L425" i="11"/>
  <c r="K425" i="11"/>
  <c r="J425" i="11"/>
  <c r="I425" i="11"/>
  <c r="H425" i="11"/>
  <c r="G425" i="11"/>
  <c r="F425" i="11"/>
  <c r="E425" i="11"/>
  <c r="D425" i="11"/>
  <c r="C425" i="11"/>
  <c r="B425" i="11"/>
  <c r="L424" i="11"/>
  <c r="K424" i="11"/>
  <c r="J424" i="11"/>
  <c r="I424" i="11"/>
  <c r="H424" i="11"/>
  <c r="G424" i="11"/>
  <c r="F424" i="11"/>
  <c r="E424" i="11"/>
  <c r="D424" i="11"/>
  <c r="C424" i="11"/>
  <c r="B424" i="11"/>
  <c r="L423" i="11"/>
  <c r="K423" i="11"/>
  <c r="J423" i="11"/>
  <c r="I423" i="11"/>
  <c r="H423" i="11"/>
  <c r="G423" i="11"/>
  <c r="F423" i="11"/>
  <c r="E423" i="11"/>
  <c r="D423" i="11"/>
  <c r="C423" i="11"/>
  <c r="B423" i="11"/>
  <c r="L422" i="11"/>
  <c r="K422" i="11"/>
  <c r="J422" i="11"/>
  <c r="I422" i="11"/>
  <c r="H422" i="11"/>
  <c r="G422" i="11"/>
  <c r="F422" i="11"/>
  <c r="E422" i="11"/>
  <c r="D422" i="11"/>
  <c r="C422" i="11"/>
  <c r="B422" i="11"/>
  <c r="L421" i="11"/>
  <c r="K421" i="11"/>
  <c r="J421" i="11"/>
  <c r="I421" i="11"/>
  <c r="H421" i="11"/>
  <c r="G421" i="11"/>
  <c r="F421" i="11"/>
  <c r="E421" i="11"/>
  <c r="D421" i="11"/>
  <c r="C421" i="11"/>
  <c r="B421" i="11"/>
  <c r="L420" i="11"/>
  <c r="K420" i="11"/>
  <c r="J420" i="11"/>
  <c r="I420" i="11"/>
  <c r="H420" i="11"/>
  <c r="G420" i="11"/>
  <c r="F420" i="11"/>
  <c r="E420" i="11"/>
  <c r="D420" i="11"/>
  <c r="C420" i="11"/>
  <c r="B420" i="11"/>
  <c r="L419" i="11"/>
  <c r="K419" i="11"/>
  <c r="J419" i="11"/>
  <c r="I419" i="11"/>
  <c r="G419" i="11"/>
  <c r="F419" i="11"/>
  <c r="E419" i="11"/>
  <c r="D419" i="11"/>
  <c r="C419" i="11"/>
  <c r="B419" i="11"/>
  <c r="L418" i="11"/>
  <c r="K418" i="11"/>
  <c r="J418" i="11"/>
  <c r="I418" i="11"/>
  <c r="G418" i="11"/>
  <c r="F418" i="11"/>
  <c r="E418" i="11"/>
  <c r="D418" i="11"/>
  <c r="C418" i="11"/>
  <c r="B418" i="11"/>
  <c r="L384" i="11"/>
  <c r="J384" i="11"/>
  <c r="L382" i="11"/>
  <c r="J382" i="11"/>
  <c r="L381" i="11"/>
  <c r="J381" i="11"/>
  <c r="L380" i="11"/>
  <c r="J380" i="11"/>
  <c r="L378" i="11"/>
  <c r="K378" i="11"/>
  <c r="J378" i="11"/>
  <c r="I378" i="11"/>
  <c r="H378" i="11"/>
  <c r="G378" i="11"/>
  <c r="F378" i="11"/>
  <c r="E378" i="11"/>
  <c r="D378" i="11"/>
  <c r="C378" i="11"/>
  <c r="B378" i="11"/>
  <c r="L377" i="11"/>
  <c r="K377" i="11"/>
  <c r="J377" i="11"/>
  <c r="I377" i="11"/>
  <c r="H377" i="11"/>
  <c r="G377" i="11"/>
  <c r="F377" i="11"/>
  <c r="E377" i="11"/>
  <c r="D377" i="11"/>
  <c r="C377" i="11"/>
  <c r="B377" i="11"/>
  <c r="L376" i="11"/>
  <c r="K376" i="11"/>
  <c r="J376" i="11"/>
  <c r="I376" i="11"/>
  <c r="H376" i="11"/>
  <c r="G376" i="11"/>
  <c r="F376" i="11"/>
  <c r="E376" i="11"/>
  <c r="D376" i="11"/>
  <c r="C376" i="11"/>
  <c r="B376" i="11"/>
  <c r="L375" i="11"/>
  <c r="K375" i="11"/>
  <c r="J375" i="11"/>
  <c r="I375" i="11"/>
  <c r="H375" i="11"/>
  <c r="G375" i="11"/>
  <c r="F375" i="11"/>
  <c r="E375" i="11"/>
  <c r="D375" i="11"/>
  <c r="C375" i="11"/>
  <c r="B375" i="11"/>
  <c r="L374" i="11"/>
  <c r="K374" i="11"/>
  <c r="J374" i="11"/>
  <c r="I374" i="11"/>
  <c r="H374" i="11"/>
  <c r="G374" i="11"/>
  <c r="F374" i="11"/>
  <c r="E374" i="11"/>
  <c r="D374" i="11"/>
  <c r="C374" i="11"/>
  <c r="B374" i="11"/>
  <c r="L373" i="11"/>
  <c r="K373" i="11"/>
  <c r="J373" i="11"/>
  <c r="I373" i="11"/>
  <c r="H373" i="11"/>
  <c r="G373" i="11"/>
  <c r="F373" i="11"/>
  <c r="E373" i="11"/>
  <c r="D373" i="11"/>
  <c r="C373" i="11"/>
  <c r="B373" i="11"/>
  <c r="L372" i="11"/>
  <c r="K372" i="11"/>
  <c r="J372" i="11"/>
  <c r="I372" i="11"/>
  <c r="H372" i="11"/>
  <c r="G372" i="11"/>
  <c r="F372" i="11"/>
  <c r="E372" i="11"/>
  <c r="D372" i="11"/>
  <c r="C372" i="11"/>
  <c r="B372" i="11"/>
  <c r="L371" i="11"/>
  <c r="K371" i="11"/>
  <c r="J371" i="11"/>
  <c r="I371" i="11"/>
  <c r="H371" i="11"/>
  <c r="G371" i="11"/>
  <c r="F371" i="11"/>
  <c r="E371" i="11"/>
  <c r="D371" i="11"/>
  <c r="C371" i="11"/>
  <c r="B371" i="11"/>
  <c r="L370" i="11"/>
  <c r="K370" i="11"/>
  <c r="J370" i="11"/>
  <c r="I370" i="11"/>
  <c r="H370" i="11"/>
  <c r="G370" i="11"/>
  <c r="F370" i="11"/>
  <c r="E370" i="11"/>
  <c r="D370" i="11"/>
  <c r="C370" i="11"/>
  <c r="B370" i="11"/>
  <c r="L369" i="11"/>
  <c r="K369" i="11"/>
  <c r="J369" i="11"/>
  <c r="I369" i="11"/>
  <c r="H369" i="11"/>
  <c r="G369" i="11"/>
  <c r="F369" i="11"/>
  <c r="E369" i="11"/>
  <c r="D369" i="11"/>
  <c r="C369" i="11"/>
  <c r="B369" i="11"/>
  <c r="L368" i="11"/>
  <c r="K368" i="11"/>
  <c r="J368" i="11"/>
  <c r="I368" i="11"/>
  <c r="G368" i="11"/>
  <c r="F368" i="11"/>
  <c r="E368" i="11"/>
  <c r="D368" i="11"/>
  <c r="C368" i="11"/>
  <c r="B368" i="11"/>
  <c r="L367" i="11"/>
  <c r="K367" i="11"/>
  <c r="J367" i="11"/>
  <c r="I367" i="11"/>
  <c r="G367" i="11"/>
  <c r="F367" i="11"/>
  <c r="E367" i="11"/>
  <c r="D367" i="11"/>
  <c r="C367" i="11"/>
  <c r="B367" i="11"/>
  <c r="L333" i="11"/>
  <c r="J333" i="11"/>
  <c r="L331" i="11"/>
  <c r="J331" i="11"/>
  <c r="L330" i="11"/>
  <c r="J330" i="11"/>
  <c r="L329" i="11"/>
  <c r="J329" i="11"/>
  <c r="L327" i="11"/>
  <c r="K327" i="11"/>
  <c r="J327" i="11"/>
  <c r="I327" i="11"/>
  <c r="H327" i="11"/>
  <c r="G327" i="11"/>
  <c r="F327" i="11"/>
  <c r="E327" i="11"/>
  <c r="D327" i="11"/>
  <c r="C327" i="11"/>
  <c r="B327" i="11"/>
  <c r="L326" i="11"/>
  <c r="K326" i="11"/>
  <c r="J326" i="11"/>
  <c r="I326" i="11"/>
  <c r="H326" i="11"/>
  <c r="G326" i="11"/>
  <c r="F326" i="11"/>
  <c r="E326" i="11"/>
  <c r="D326" i="11"/>
  <c r="C326" i="11"/>
  <c r="B326" i="11"/>
  <c r="L325" i="11"/>
  <c r="K325" i="11"/>
  <c r="J325" i="11"/>
  <c r="I325" i="11"/>
  <c r="H325" i="11"/>
  <c r="G325" i="11"/>
  <c r="F325" i="11"/>
  <c r="E325" i="11"/>
  <c r="D325" i="11"/>
  <c r="C325" i="11"/>
  <c r="B325" i="11"/>
  <c r="L324" i="11"/>
  <c r="K324" i="11"/>
  <c r="J324" i="11"/>
  <c r="I324" i="11"/>
  <c r="H324" i="11"/>
  <c r="G324" i="11"/>
  <c r="F324" i="11"/>
  <c r="E324" i="11"/>
  <c r="D324" i="11"/>
  <c r="C324" i="11"/>
  <c r="B324" i="11"/>
  <c r="L323" i="11"/>
  <c r="K323" i="11"/>
  <c r="J323" i="11"/>
  <c r="I323" i="11"/>
  <c r="H323" i="11"/>
  <c r="G323" i="11"/>
  <c r="F323" i="11"/>
  <c r="E323" i="11"/>
  <c r="D323" i="11"/>
  <c r="C323" i="11"/>
  <c r="B323" i="11"/>
  <c r="L322" i="11"/>
  <c r="K322" i="11"/>
  <c r="J322" i="11"/>
  <c r="I322" i="11"/>
  <c r="H322" i="11"/>
  <c r="G322" i="11"/>
  <c r="F322" i="11"/>
  <c r="E322" i="11"/>
  <c r="D322" i="11"/>
  <c r="C322" i="11"/>
  <c r="B322" i="11"/>
  <c r="L321" i="11"/>
  <c r="K321" i="11"/>
  <c r="J321" i="11"/>
  <c r="I321" i="11"/>
  <c r="H321" i="11"/>
  <c r="G321" i="11"/>
  <c r="F321" i="11"/>
  <c r="E321" i="11"/>
  <c r="D321" i="11"/>
  <c r="C321" i="11"/>
  <c r="B321" i="11"/>
  <c r="L320" i="11"/>
  <c r="K320" i="11"/>
  <c r="J320" i="11"/>
  <c r="I320" i="11"/>
  <c r="H320" i="11"/>
  <c r="G320" i="11"/>
  <c r="F320" i="11"/>
  <c r="E320" i="11"/>
  <c r="D320" i="11"/>
  <c r="C320" i="11"/>
  <c r="B320" i="11"/>
  <c r="L319" i="11"/>
  <c r="K319" i="11"/>
  <c r="J319" i="11"/>
  <c r="I319" i="11"/>
  <c r="H319" i="11"/>
  <c r="G319" i="11"/>
  <c r="F319" i="11"/>
  <c r="E319" i="11"/>
  <c r="D319" i="11"/>
  <c r="C319" i="11"/>
  <c r="B319" i="11"/>
  <c r="L318" i="11"/>
  <c r="K318" i="11"/>
  <c r="J318" i="11"/>
  <c r="I318" i="11"/>
  <c r="H318" i="11"/>
  <c r="G318" i="11"/>
  <c r="F318" i="11"/>
  <c r="E318" i="11"/>
  <c r="D318" i="11"/>
  <c r="C318" i="11"/>
  <c r="B318" i="11"/>
  <c r="L317" i="11"/>
  <c r="K317" i="11"/>
  <c r="J317" i="11"/>
  <c r="I317" i="11"/>
  <c r="G317" i="11"/>
  <c r="F317" i="11"/>
  <c r="E317" i="11"/>
  <c r="D317" i="11"/>
  <c r="C317" i="11"/>
  <c r="B317" i="11"/>
  <c r="L316" i="11"/>
  <c r="K316" i="11"/>
  <c r="J316" i="11"/>
  <c r="I316" i="11"/>
  <c r="G316" i="11"/>
  <c r="F316" i="11"/>
  <c r="E316" i="11"/>
  <c r="D316" i="11"/>
  <c r="C316" i="11"/>
  <c r="B316" i="11"/>
  <c r="M271" i="11"/>
  <c r="K271" i="11"/>
  <c r="M269" i="11"/>
  <c r="K269" i="11"/>
  <c r="M268" i="11"/>
  <c r="K268" i="11"/>
  <c r="M267" i="11"/>
  <c r="K267" i="11"/>
  <c r="M265" i="11"/>
  <c r="L265" i="11"/>
  <c r="K265" i="11"/>
  <c r="J265" i="11"/>
  <c r="I265" i="11"/>
  <c r="G265" i="11"/>
  <c r="F265" i="11"/>
  <c r="E265" i="11"/>
  <c r="D265" i="11"/>
  <c r="C265" i="11"/>
  <c r="B265" i="11"/>
  <c r="M264" i="11"/>
  <c r="L264" i="11"/>
  <c r="K264" i="11"/>
  <c r="J264" i="11"/>
  <c r="I264" i="11"/>
  <c r="G264" i="11"/>
  <c r="F264" i="11"/>
  <c r="E264" i="11"/>
  <c r="D264" i="11"/>
  <c r="C264" i="11"/>
  <c r="B264" i="11"/>
  <c r="M263" i="11"/>
  <c r="L263" i="11"/>
  <c r="K263" i="11"/>
  <c r="J263" i="11"/>
  <c r="I263" i="11"/>
  <c r="G263" i="11"/>
  <c r="F263" i="11"/>
  <c r="E263" i="11"/>
  <c r="D263" i="11"/>
  <c r="C263" i="11"/>
  <c r="B263" i="11"/>
  <c r="M262" i="11"/>
  <c r="L262" i="11"/>
  <c r="K262" i="11"/>
  <c r="J262" i="11"/>
  <c r="I262" i="11"/>
  <c r="G262" i="11"/>
  <c r="F262" i="11"/>
  <c r="E262" i="11"/>
  <c r="D262" i="11"/>
  <c r="C262" i="11"/>
  <c r="B262" i="11"/>
  <c r="M261" i="11"/>
  <c r="L261" i="11"/>
  <c r="K261" i="11"/>
  <c r="J261" i="11"/>
  <c r="I261" i="11"/>
  <c r="G261" i="11"/>
  <c r="F261" i="11"/>
  <c r="E261" i="11"/>
  <c r="D261" i="11"/>
  <c r="C261" i="11"/>
  <c r="B261" i="11"/>
  <c r="M260" i="11"/>
  <c r="L260" i="11"/>
  <c r="K260" i="11"/>
  <c r="J260" i="11"/>
  <c r="I260" i="11"/>
  <c r="G260" i="11"/>
  <c r="F260" i="11"/>
  <c r="E260" i="11"/>
  <c r="D260" i="11"/>
  <c r="C260" i="11"/>
  <c r="B260" i="11"/>
  <c r="M259" i="11"/>
  <c r="L259" i="11"/>
  <c r="K259" i="11"/>
  <c r="J259" i="11"/>
  <c r="I259" i="11"/>
  <c r="G259" i="11"/>
  <c r="F259" i="11"/>
  <c r="E259" i="11"/>
  <c r="D259" i="11"/>
  <c r="C259" i="11"/>
  <c r="B259" i="11"/>
  <c r="M258" i="11"/>
  <c r="L258" i="11"/>
  <c r="K258" i="11"/>
  <c r="J258" i="11"/>
  <c r="I258" i="11"/>
  <c r="G258" i="11"/>
  <c r="F258" i="11"/>
  <c r="E258" i="11"/>
  <c r="D258" i="11"/>
  <c r="C258" i="11"/>
  <c r="B258" i="11"/>
  <c r="M257" i="11"/>
  <c r="L257" i="11"/>
  <c r="K257" i="11"/>
  <c r="J257" i="11"/>
  <c r="I257" i="11"/>
  <c r="H257" i="11"/>
  <c r="G257" i="11"/>
  <c r="F257" i="11"/>
  <c r="E257" i="11"/>
  <c r="D257" i="11"/>
  <c r="C257" i="11"/>
  <c r="B257" i="11"/>
  <c r="M256" i="11"/>
  <c r="L256" i="11"/>
  <c r="K256" i="11"/>
  <c r="J256" i="11"/>
  <c r="I256" i="11"/>
  <c r="H256" i="11"/>
  <c r="G256" i="11"/>
  <c r="F256" i="11"/>
  <c r="E256" i="11"/>
  <c r="D256" i="11"/>
  <c r="C256" i="11"/>
  <c r="B256" i="11"/>
  <c r="M255" i="11"/>
  <c r="L255" i="11"/>
  <c r="K255" i="11"/>
  <c r="J255" i="11"/>
  <c r="I255" i="11"/>
  <c r="H255" i="11"/>
  <c r="G255" i="11"/>
  <c r="F255" i="11"/>
  <c r="E255" i="11"/>
  <c r="D255" i="11"/>
  <c r="C255" i="11"/>
  <c r="B255" i="11"/>
  <c r="M254" i="11"/>
  <c r="L254" i="11"/>
  <c r="K254" i="11"/>
  <c r="J254" i="11"/>
  <c r="I254" i="11"/>
  <c r="H254" i="11"/>
  <c r="G254" i="11"/>
  <c r="F254" i="11"/>
  <c r="E254" i="11"/>
  <c r="D254" i="11"/>
  <c r="C254" i="11"/>
  <c r="B254" i="11"/>
  <c r="L220" i="11"/>
  <c r="J220" i="11"/>
  <c r="L218" i="11"/>
  <c r="J218" i="11"/>
  <c r="L217" i="11"/>
  <c r="J217" i="11"/>
  <c r="L216" i="11"/>
  <c r="J216" i="11"/>
  <c r="L214" i="11"/>
  <c r="K214" i="11"/>
  <c r="J214" i="11"/>
  <c r="I214" i="11"/>
  <c r="G214" i="11"/>
  <c r="F214" i="11"/>
  <c r="E214" i="11"/>
  <c r="D214" i="11"/>
  <c r="C214" i="11"/>
  <c r="B214" i="11"/>
  <c r="L213" i="11"/>
  <c r="K213" i="11"/>
  <c r="J213" i="11"/>
  <c r="I213" i="11"/>
  <c r="G213" i="11"/>
  <c r="F213" i="11"/>
  <c r="E213" i="11"/>
  <c r="D213" i="11"/>
  <c r="C213" i="11"/>
  <c r="B213" i="11"/>
  <c r="L212" i="11"/>
  <c r="K212" i="11"/>
  <c r="J212" i="11"/>
  <c r="I212" i="11"/>
  <c r="G212" i="11"/>
  <c r="F212" i="11"/>
  <c r="E212" i="11"/>
  <c r="D212" i="11"/>
  <c r="C212" i="11"/>
  <c r="B212" i="11"/>
  <c r="L211" i="11"/>
  <c r="K211" i="11"/>
  <c r="J211" i="11"/>
  <c r="I211" i="11"/>
  <c r="G211" i="11"/>
  <c r="F211" i="11"/>
  <c r="E211" i="11"/>
  <c r="D211" i="11"/>
  <c r="C211" i="11"/>
  <c r="B211" i="11"/>
  <c r="L210" i="11"/>
  <c r="K210" i="11"/>
  <c r="J210" i="11"/>
  <c r="I210" i="11"/>
  <c r="G210" i="11"/>
  <c r="F210" i="11"/>
  <c r="E210" i="11"/>
  <c r="D210" i="11"/>
  <c r="C210" i="11"/>
  <c r="B210" i="11"/>
  <c r="L209" i="11"/>
  <c r="K209" i="11"/>
  <c r="J209" i="11"/>
  <c r="I209" i="11"/>
  <c r="G209" i="11"/>
  <c r="F209" i="11"/>
  <c r="E209" i="11"/>
  <c r="D209" i="11"/>
  <c r="C209" i="11"/>
  <c r="B209" i="11"/>
  <c r="L208" i="11"/>
  <c r="K208" i="11"/>
  <c r="J208" i="11"/>
  <c r="I208" i="11"/>
  <c r="G208" i="11"/>
  <c r="F208" i="11"/>
  <c r="E208" i="11"/>
  <c r="D208" i="11"/>
  <c r="C208" i="11"/>
  <c r="B208" i="11"/>
  <c r="L207" i="11"/>
  <c r="K207" i="11"/>
  <c r="J207" i="11"/>
  <c r="I207" i="11"/>
  <c r="G207" i="11"/>
  <c r="F207" i="11"/>
  <c r="E207" i="11"/>
  <c r="D207" i="11"/>
  <c r="C207" i="11"/>
  <c r="B207" i="11"/>
  <c r="L206" i="11"/>
  <c r="K206" i="11"/>
  <c r="J206" i="11"/>
  <c r="I206" i="11"/>
  <c r="H206" i="11"/>
  <c r="G206" i="11"/>
  <c r="F206" i="11"/>
  <c r="E206" i="11"/>
  <c r="D206" i="11"/>
  <c r="C206" i="11"/>
  <c r="B206" i="11"/>
  <c r="L205" i="11"/>
  <c r="K205" i="11"/>
  <c r="J205" i="11"/>
  <c r="I205" i="11"/>
  <c r="H205" i="11"/>
  <c r="G205" i="11"/>
  <c r="F205" i="11"/>
  <c r="E205" i="11"/>
  <c r="D205" i="11"/>
  <c r="C205" i="11"/>
  <c r="B205" i="11"/>
  <c r="L204" i="11"/>
  <c r="K204" i="11"/>
  <c r="J204" i="11"/>
  <c r="I204" i="11"/>
  <c r="H204" i="11"/>
  <c r="G204" i="11"/>
  <c r="F204" i="11"/>
  <c r="E204" i="11"/>
  <c r="D204" i="11"/>
  <c r="C204" i="11"/>
  <c r="B204" i="11"/>
  <c r="L203" i="11"/>
  <c r="K203" i="11"/>
  <c r="J203" i="11"/>
  <c r="I203" i="11"/>
  <c r="H203" i="11"/>
  <c r="G203" i="11"/>
  <c r="F203" i="11"/>
  <c r="E203" i="11"/>
  <c r="D203" i="11"/>
  <c r="C203" i="11"/>
  <c r="B203" i="11"/>
  <c r="L199" i="11"/>
  <c r="L169" i="11"/>
  <c r="J169" i="11"/>
  <c r="L167" i="11"/>
  <c r="J167" i="11"/>
  <c r="L166" i="11"/>
  <c r="J166" i="11"/>
  <c r="L165" i="11"/>
  <c r="J165" i="11"/>
  <c r="L163" i="11"/>
  <c r="K163" i="11"/>
  <c r="J163" i="11"/>
  <c r="I163" i="11"/>
  <c r="G163" i="11"/>
  <c r="F163" i="11"/>
  <c r="E163" i="11"/>
  <c r="D163" i="11"/>
  <c r="C163" i="11"/>
  <c r="B163" i="11"/>
  <c r="L162" i="11"/>
  <c r="K162" i="11"/>
  <c r="J162" i="11"/>
  <c r="I162" i="11"/>
  <c r="G162" i="11"/>
  <c r="F162" i="11"/>
  <c r="E162" i="11"/>
  <c r="D162" i="11"/>
  <c r="C162" i="11"/>
  <c r="B162" i="11"/>
  <c r="L161" i="11"/>
  <c r="K161" i="11"/>
  <c r="J161" i="11"/>
  <c r="I161" i="11"/>
  <c r="G161" i="11"/>
  <c r="F161" i="11"/>
  <c r="E161" i="11"/>
  <c r="D161" i="11"/>
  <c r="C161" i="11"/>
  <c r="B161" i="11"/>
  <c r="L160" i="11"/>
  <c r="K160" i="11"/>
  <c r="J160" i="11"/>
  <c r="I160" i="11"/>
  <c r="G160" i="11"/>
  <c r="F160" i="11"/>
  <c r="E160" i="11"/>
  <c r="D160" i="11"/>
  <c r="C160" i="11"/>
  <c r="B160" i="11"/>
  <c r="L159" i="11"/>
  <c r="K159" i="11"/>
  <c r="J159" i="11"/>
  <c r="I159" i="11"/>
  <c r="G159" i="11"/>
  <c r="F159" i="11"/>
  <c r="E159" i="11"/>
  <c r="D159" i="11"/>
  <c r="C159" i="11"/>
  <c r="B159" i="11"/>
  <c r="L158" i="11"/>
  <c r="K158" i="11"/>
  <c r="J158" i="11"/>
  <c r="I158" i="11"/>
  <c r="G158" i="11"/>
  <c r="F158" i="11"/>
  <c r="E158" i="11"/>
  <c r="D158" i="11"/>
  <c r="C158" i="11"/>
  <c r="B158" i="11"/>
  <c r="L157" i="11"/>
  <c r="K157" i="11"/>
  <c r="J157" i="11"/>
  <c r="I157" i="11"/>
  <c r="G157" i="11"/>
  <c r="F157" i="11"/>
  <c r="E157" i="11"/>
  <c r="D157" i="11"/>
  <c r="C157" i="11"/>
  <c r="B157" i="11"/>
  <c r="L156" i="11"/>
  <c r="K156" i="11"/>
  <c r="J156" i="11"/>
  <c r="I156" i="11"/>
  <c r="G156" i="11"/>
  <c r="F156" i="11"/>
  <c r="E156" i="11"/>
  <c r="D156" i="11"/>
  <c r="C156" i="11"/>
  <c r="B156" i="11"/>
  <c r="L155" i="11"/>
  <c r="K155" i="11"/>
  <c r="J155" i="11"/>
  <c r="I155" i="11"/>
  <c r="H155" i="11"/>
  <c r="G155" i="11"/>
  <c r="F155" i="11"/>
  <c r="E155" i="11"/>
  <c r="D155" i="11"/>
  <c r="C155" i="11"/>
  <c r="B155" i="11"/>
  <c r="L154" i="11"/>
  <c r="K154" i="11"/>
  <c r="J154" i="11"/>
  <c r="I154" i="11"/>
  <c r="H154" i="11"/>
  <c r="G154" i="11"/>
  <c r="F154" i="11"/>
  <c r="E154" i="11"/>
  <c r="D154" i="11"/>
  <c r="C154" i="11"/>
  <c r="B154" i="11"/>
  <c r="L153" i="11"/>
  <c r="K153" i="11"/>
  <c r="J153" i="11"/>
  <c r="I153" i="11"/>
  <c r="H153" i="11"/>
  <c r="G153" i="11"/>
  <c r="F153" i="11"/>
  <c r="E153" i="11"/>
  <c r="D153" i="11"/>
  <c r="C153" i="11"/>
  <c r="B153" i="11"/>
  <c r="L152" i="11"/>
  <c r="K152" i="11"/>
  <c r="J152" i="11"/>
  <c r="I152" i="11"/>
  <c r="H152" i="11"/>
  <c r="G152" i="11"/>
  <c r="F152" i="11"/>
  <c r="E152" i="11"/>
  <c r="D152" i="11"/>
  <c r="C152" i="11"/>
  <c r="B152" i="11"/>
  <c r="L118" i="11"/>
  <c r="J118" i="11"/>
  <c r="L116" i="11"/>
  <c r="J116" i="11"/>
  <c r="L115" i="11"/>
  <c r="J115" i="11"/>
  <c r="L114" i="11"/>
  <c r="J114" i="11"/>
  <c r="L112" i="11"/>
  <c r="K112" i="11"/>
  <c r="J112" i="11"/>
  <c r="I112" i="11"/>
  <c r="G112" i="11"/>
  <c r="F112" i="11"/>
  <c r="E112" i="11"/>
  <c r="D112" i="11"/>
  <c r="C112" i="11"/>
  <c r="B112" i="11"/>
  <c r="L111" i="11"/>
  <c r="K111" i="11"/>
  <c r="J111" i="11"/>
  <c r="I111" i="11"/>
  <c r="G111" i="11"/>
  <c r="F111" i="11"/>
  <c r="E111" i="11"/>
  <c r="D111" i="11"/>
  <c r="C111" i="11"/>
  <c r="B111" i="11"/>
  <c r="L110" i="11"/>
  <c r="K110" i="11"/>
  <c r="J110" i="11"/>
  <c r="I110" i="11"/>
  <c r="G110" i="11"/>
  <c r="F110" i="11"/>
  <c r="E110" i="11"/>
  <c r="D110" i="11"/>
  <c r="C110" i="11"/>
  <c r="B110" i="11"/>
  <c r="L109" i="11"/>
  <c r="K109" i="11"/>
  <c r="J109" i="11"/>
  <c r="I109" i="11"/>
  <c r="G109" i="11"/>
  <c r="F109" i="11"/>
  <c r="E109" i="11"/>
  <c r="D109" i="11"/>
  <c r="C109" i="11"/>
  <c r="B109" i="11"/>
  <c r="L108" i="11"/>
  <c r="K108" i="11"/>
  <c r="J108" i="11"/>
  <c r="I108" i="11"/>
  <c r="G108" i="11"/>
  <c r="F108" i="11"/>
  <c r="E108" i="11"/>
  <c r="D108" i="11"/>
  <c r="C108" i="11"/>
  <c r="B108" i="11"/>
  <c r="L107" i="11"/>
  <c r="K107" i="11"/>
  <c r="J107" i="11"/>
  <c r="I107" i="11"/>
  <c r="G107" i="11"/>
  <c r="F107" i="11"/>
  <c r="E107" i="11"/>
  <c r="D107" i="11"/>
  <c r="C107" i="11"/>
  <c r="B107" i="11"/>
  <c r="L106" i="11"/>
  <c r="K106" i="11"/>
  <c r="J106" i="11"/>
  <c r="I106" i="11"/>
  <c r="G106" i="11"/>
  <c r="F106" i="11"/>
  <c r="E106" i="11"/>
  <c r="D106" i="11"/>
  <c r="C106" i="11"/>
  <c r="B106" i="11"/>
  <c r="L105" i="11"/>
  <c r="K105" i="11"/>
  <c r="J105" i="11"/>
  <c r="I105" i="11"/>
  <c r="G105" i="11"/>
  <c r="F105" i="11"/>
  <c r="E105" i="11"/>
  <c r="D105" i="11"/>
  <c r="C105" i="11"/>
  <c r="B105" i="11"/>
  <c r="L104" i="11"/>
  <c r="K104" i="11"/>
  <c r="J104" i="11"/>
  <c r="I104" i="11"/>
  <c r="H104" i="11"/>
  <c r="G104" i="11"/>
  <c r="F104" i="11"/>
  <c r="E104" i="11"/>
  <c r="D104" i="11"/>
  <c r="C104" i="11"/>
  <c r="B104" i="11"/>
  <c r="L103" i="11"/>
  <c r="K103" i="11"/>
  <c r="J103" i="11"/>
  <c r="I103" i="11"/>
  <c r="H103" i="11"/>
  <c r="G103" i="11"/>
  <c r="F103" i="11"/>
  <c r="E103" i="11"/>
  <c r="D103" i="11"/>
  <c r="C103" i="11"/>
  <c r="B103" i="11"/>
  <c r="L102" i="11"/>
  <c r="K102" i="11"/>
  <c r="J102" i="11"/>
  <c r="I102" i="11"/>
  <c r="H102" i="11"/>
  <c r="G102" i="11"/>
  <c r="F102" i="11"/>
  <c r="E102" i="11"/>
  <c r="D102" i="11"/>
  <c r="C102" i="11"/>
  <c r="B102" i="11"/>
  <c r="L101" i="11"/>
  <c r="K101" i="11"/>
  <c r="J101" i="11"/>
  <c r="I101" i="11"/>
  <c r="H101" i="11"/>
  <c r="G101" i="11"/>
  <c r="F101" i="11"/>
  <c r="E101" i="11"/>
  <c r="D101" i="11"/>
  <c r="C101" i="11"/>
  <c r="B101" i="11"/>
  <c r="J67" i="11"/>
  <c r="J65" i="11"/>
  <c r="L64" i="11"/>
  <c r="B70" i="11" s="1"/>
  <c r="J64" i="11"/>
  <c r="J63" i="11"/>
  <c r="L61" i="11"/>
  <c r="C110" i="7" s="1"/>
  <c r="K61" i="11"/>
  <c r="J61" i="11"/>
  <c r="I61" i="11"/>
  <c r="G61" i="11"/>
  <c r="F61" i="11"/>
  <c r="E61" i="11"/>
  <c r="D61" i="11"/>
  <c r="C61" i="11"/>
  <c r="B61" i="11"/>
  <c r="L60" i="11"/>
  <c r="C109" i="7" s="1"/>
  <c r="K60" i="11"/>
  <c r="J60" i="11"/>
  <c r="I60" i="11"/>
  <c r="G60" i="11"/>
  <c r="F60" i="11"/>
  <c r="E60" i="11"/>
  <c r="D60" i="11"/>
  <c r="C60" i="11"/>
  <c r="B60" i="11"/>
  <c r="L59" i="11"/>
  <c r="C108" i="7" s="1"/>
  <c r="K59" i="11"/>
  <c r="J59" i="11"/>
  <c r="I59" i="11"/>
  <c r="G59" i="11"/>
  <c r="F59" i="11"/>
  <c r="E59" i="11"/>
  <c r="D59" i="11"/>
  <c r="C59" i="11"/>
  <c r="B59" i="11"/>
  <c r="L58" i="11"/>
  <c r="L65" i="11" s="1"/>
  <c r="B71" i="11" s="1"/>
  <c r="K58" i="11"/>
  <c r="J58" i="11"/>
  <c r="I58" i="11"/>
  <c r="G58" i="11"/>
  <c r="F58" i="11"/>
  <c r="E58" i="11"/>
  <c r="D58" i="11"/>
  <c r="C58" i="11"/>
  <c r="B58" i="11"/>
  <c r="L57" i="11"/>
  <c r="C106" i="7" s="1"/>
  <c r="K57" i="11"/>
  <c r="J57" i="11"/>
  <c r="I57" i="11"/>
  <c r="G57" i="11"/>
  <c r="F57" i="11"/>
  <c r="E57" i="11"/>
  <c r="D57" i="11"/>
  <c r="C57" i="11"/>
  <c r="B57" i="11"/>
  <c r="L56" i="11"/>
  <c r="C105" i="7" s="1"/>
  <c r="K56" i="11"/>
  <c r="J56" i="11"/>
  <c r="I56" i="11"/>
  <c r="G56" i="11"/>
  <c r="F56" i="11"/>
  <c r="E56" i="11"/>
  <c r="D56" i="11"/>
  <c r="C56" i="11"/>
  <c r="B56" i="11"/>
  <c r="L55" i="11"/>
  <c r="C104" i="7" s="1"/>
  <c r="K55" i="11"/>
  <c r="J55" i="11"/>
  <c r="I55" i="11"/>
  <c r="G55" i="11"/>
  <c r="F55" i="11"/>
  <c r="E55" i="11"/>
  <c r="D55" i="11"/>
  <c r="C55" i="11"/>
  <c r="B55" i="11"/>
  <c r="L54" i="11"/>
  <c r="C103" i="7" s="1"/>
  <c r="K54" i="11"/>
  <c r="J54" i="11"/>
  <c r="I54" i="11"/>
  <c r="G54" i="11"/>
  <c r="F54" i="11"/>
  <c r="E54" i="11"/>
  <c r="D54" i="11"/>
  <c r="C54" i="11"/>
  <c r="B54" i="11"/>
  <c r="L53" i="11"/>
  <c r="C102" i="7" s="1"/>
  <c r="K53" i="11"/>
  <c r="J53" i="11"/>
  <c r="I53" i="11"/>
  <c r="H53" i="11"/>
  <c r="G53" i="11"/>
  <c r="F53" i="11"/>
  <c r="E53" i="11"/>
  <c r="D53" i="11"/>
  <c r="C53" i="11"/>
  <c r="B53" i="11"/>
  <c r="L52" i="11"/>
  <c r="K52" i="11"/>
  <c r="J52" i="11"/>
  <c r="I52" i="11"/>
  <c r="H52" i="11"/>
  <c r="G52" i="11"/>
  <c r="F52" i="11"/>
  <c r="E52" i="11"/>
  <c r="D52" i="11"/>
  <c r="C52" i="11"/>
  <c r="B52" i="11"/>
  <c r="L51" i="11"/>
  <c r="C100" i="7" s="1"/>
  <c r="K51" i="11"/>
  <c r="J51" i="11"/>
  <c r="I51" i="11"/>
  <c r="H51" i="11"/>
  <c r="G51" i="11"/>
  <c r="F51" i="11"/>
  <c r="E51" i="11"/>
  <c r="D51" i="11"/>
  <c r="C51" i="11"/>
  <c r="B51" i="11"/>
  <c r="L50" i="11"/>
  <c r="C99" i="7" s="1"/>
  <c r="K50" i="11"/>
  <c r="J50" i="11"/>
  <c r="I50" i="11"/>
  <c r="H50" i="11"/>
  <c r="G50" i="11"/>
  <c r="F50" i="11"/>
  <c r="E50" i="11"/>
  <c r="D50" i="11"/>
  <c r="C50" i="11"/>
  <c r="B50" i="11"/>
  <c r="E492" i="7"/>
  <c r="C491" i="7"/>
  <c r="E489" i="7"/>
  <c r="C488" i="7"/>
  <c r="E442" i="7"/>
  <c r="C441" i="7"/>
  <c r="E439" i="7"/>
  <c r="C438" i="7"/>
  <c r="E289" i="7"/>
  <c r="D289" i="7"/>
  <c r="C289" i="7"/>
  <c r="B289" i="7"/>
  <c r="E288" i="7"/>
  <c r="D288" i="7"/>
  <c r="C288" i="7"/>
  <c r="B288" i="7"/>
  <c r="E287" i="7"/>
  <c r="D287" i="7"/>
  <c r="C287" i="7"/>
  <c r="B287" i="7"/>
  <c r="E286" i="7"/>
  <c r="D286" i="7"/>
  <c r="C286" i="7"/>
  <c r="B286" i="7"/>
  <c r="E285" i="7"/>
  <c r="D285" i="7"/>
  <c r="C285" i="7"/>
  <c r="B285" i="7"/>
  <c r="E284" i="7"/>
  <c r="D284" i="7"/>
  <c r="C284" i="7"/>
  <c r="B284" i="7"/>
  <c r="E239" i="7"/>
  <c r="D239" i="7"/>
  <c r="C239" i="7"/>
  <c r="B239" i="7"/>
  <c r="E238" i="7"/>
  <c r="D238" i="7"/>
  <c r="C238" i="7"/>
  <c r="B238" i="7"/>
  <c r="E237" i="7"/>
  <c r="D237" i="7"/>
  <c r="C237" i="7"/>
  <c r="B237" i="7"/>
  <c r="E236" i="7"/>
  <c r="D236" i="7"/>
  <c r="C236" i="7"/>
  <c r="B236" i="7"/>
  <c r="E235" i="7"/>
  <c r="D235" i="7"/>
  <c r="C235" i="7"/>
  <c r="B235" i="7"/>
  <c r="E234" i="7"/>
  <c r="D234" i="7"/>
  <c r="C234" i="7"/>
  <c r="B234" i="7"/>
  <c r="E189" i="7"/>
  <c r="D189" i="7"/>
  <c r="C189" i="7"/>
  <c r="B189" i="7"/>
  <c r="E188" i="7"/>
  <c r="D188" i="7"/>
  <c r="C188" i="7"/>
  <c r="B188" i="7"/>
  <c r="E187" i="7"/>
  <c r="D187" i="7"/>
  <c r="C187" i="7"/>
  <c r="B187" i="7"/>
  <c r="E186" i="7"/>
  <c r="D186" i="7"/>
  <c r="C186" i="7"/>
  <c r="B186" i="7"/>
  <c r="E185" i="7"/>
  <c r="D185" i="7"/>
  <c r="C185" i="7"/>
  <c r="B185" i="7"/>
  <c r="E184" i="7"/>
  <c r="D184" i="7"/>
  <c r="C184" i="7"/>
  <c r="B184" i="7"/>
  <c r="E139" i="7"/>
  <c r="D139" i="7"/>
  <c r="C139" i="7"/>
  <c r="B139" i="7"/>
  <c r="E138" i="7"/>
  <c r="D138" i="7"/>
  <c r="C138" i="7"/>
  <c r="B138" i="7"/>
  <c r="E137" i="7"/>
  <c r="D137" i="7"/>
  <c r="C137" i="7"/>
  <c r="B137" i="7"/>
  <c r="E136" i="7"/>
  <c r="D136" i="7"/>
  <c r="C136" i="7"/>
  <c r="B136" i="7"/>
  <c r="E135" i="7"/>
  <c r="D135" i="7"/>
  <c r="C135" i="7"/>
  <c r="B135" i="7"/>
  <c r="E134" i="7"/>
  <c r="D134" i="7"/>
  <c r="C134" i="7"/>
  <c r="B134" i="7"/>
  <c r="E89" i="7"/>
  <c r="D89" i="7"/>
  <c r="C89" i="7"/>
  <c r="B89" i="7"/>
  <c r="E88" i="7"/>
  <c r="D88" i="7"/>
  <c r="C88" i="7"/>
  <c r="B88" i="7"/>
  <c r="E87" i="7"/>
  <c r="D87" i="7"/>
  <c r="C87" i="7"/>
  <c r="B87" i="7"/>
  <c r="E86" i="7"/>
  <c r="D86" i="7"/>
  <c r="C86" i="7"/>
  <c r="B86" i="7"/>
  <c r="E85" i="7"/>
  <c r="D85" i="7"/>
  <c r="C85" i="7"/>
  <c r="B85" i="7"/>
  <c r="E84" i="7"/>
  <c r="D84" i="7"/>
  <c r="C84" i="7"/>
  <c r="B84" i="7"/>
  <c r="M516" i="11"/>
  <c r="K516" i="11"/>
  <c r="M514" i="11"/>
  <c r="K514" i="11"/>
  <c r="M513" i="11"/>
  <c r="K513" i="11"/>
  <c r="M512" i="11"/>
  <c r="K512" i="11"/>
  <c r="M510" i="11"/>
  <c r="L510" i="11"/>
  <c r="K510" i="11"/>
  <c r="J510" i="11"/>
  <c r="I510" i="11"/>
  <c r="H510" i="11"/>
  <c r="G510" i="11"/>
  <c r="F510" i="11"/>
  <c r="E510" i="11"/>
  <c r="D510" i="11"/>
  <c r="C510" i="11"/>
  <c r="B510" i="11"/>
  <c r="M509" i="11"/>
  <c r="L509" i="11"/>
  <c r="K509" i="11"/>
  <c r="J509" i="11"/>
  <c r="I509" i="11"/>
  <c r="H509" i="11"/>
  <c r="G509" i="11"/>
  <c r="F509" i="11"/>
  <c r="E509" i="11"/>
  <c r="D509" i="11"/>
  <c r="C509" i="11"/>
  <c r="B509" i="11"/>
  <c r="M508" i="11"/>
  <c r="L508" i="11"/>
  <c r="K508" i="11"/>
  <c r="J508" i="11"/>
  <c r="I508" i="11"/>
  <c r="H508" i="11"/>
  <c r="G508" i="11"/>
  <c r="F508" i="11"/>
  <c r="E508" i="11"/>
  <c r="D508" i="11"/>
  <c r="C508" i="11"/>
  <c r="B508" i="11"/>
  <c r="M507" i="11"/>
  <c r="L507" i="11"/>
  <c r="K507" i="11"/>
  <c r="J507" i="11"/>
  <c r="I507" i="11"/>
  <c r="H507" i="11"/>
  <c r="G507" i="11"/>
  <c r="F507" i="11"/>
  <c r="E507" i="11"/>
  <c r="D507" i="11"/>
  <c r="C507" i="11"/>
  <c r="B507" i="11"/>
  <c r="M506" i="11"/>
  <c r="L506" i="11"/>
  <c r="K506" i="11"/>
  <c r="J506" i="11"/>
  <c r="I506" i="11"/>
  <c r="H506" i="11"/>
  <c r="G506" i="11"/>
  <c r="F506" i="11"/>
  <c r="E506" i="11"/>
  <c r="D506" i="11"/>
  <c r="C506" i="11"/>
  <c r="B506" i="11"/>
  <c r="M505" i="11"/>
  <c r="L505" i="11"/>
  <c r="K505" i="11"/>
  <c r="J505" i="11"/>
  <c r="I505" i="11"/>
  <c r="H505" i="11"/>
  <c r="G505" i="11"/>
  <c r="F505" i="11"/>
  <c r="E505" i="11"/>
  <c r="D505" i="11"/>
  <c r="C505" i="11"/>
  <c r="B505" i="11"/>
  <c r="L465" i="11"/>
  <c r="J465" i="11"/>
  <c r="L463" i="11"/>
  <c r="J463" i="11"/>
  <c r="L462" i="11"/>
  <c r="J462" i="11"/>
  <c r="L461" i="11"/>
  <c r="J461" i="11"/>
  <c r="L459" i="11"/>
  <c r="K459" i="11"/>
  <c r="J459" i="11"/>
  <c r="I459" i="11"/>
  <c r="H459" i="11"/>
  <c r="G459" i="11"/>
  <c r="F459" i="11"/>
  <c r="E459" i="11"/>
  <c r="D459" i="11"/>
  <c r="C459" i="11"/>
  <c r="B459" i="11"/>
  <c r="L458" i="11"/>
  <c r="K458" i="11"/>
  <c r="J458" i="11"/>
  <c r="I458" i="11"/>
  <c r="H458" i="11"/>
  <c r="G458" i="11"/>
  <c r="F458" i="11"/>
  <c r="E458" i="11"/>
  <c r="D458" i="11"/>
  <c r="C458" i="11"/>
  <c r="B458" i="11"/>
  <c r="L457" i="11"/>
  <c r="K457" i="11"/>
  <c r="J457" i="11"/>
  <c r="I457" i="11"/>
  <c r="H457" i="11"/>
  <c r="G457" i="11"/>
  <c r="F457" i="11"/>
  <c r="E457" i="11"/>
  <c r="D457" i="11"/>
  <c r="C457" i="11"/>
  <c r="B457" i="11"/>
  <c r="L456" i="11"/>
  <c r="K456" i="11"/>
  <c r="J456" i="11"/>
  <c r="I456" i="11"/>
  <c r="H456" i="11"/>
  <c r="G456" i="11"/>
  <c r="F456" i="11"/>
  <c r="E456" i="11"/>
  <c r="D456" i="11"/>
  <c r="C456" i="11"/>
  <c r="B456" i="11"/>
  <c r="L455" i="11"/>
  <c r="K455" i="11"/>
  <c r="J455" i="11"/>
  <c r="I455" i="11"/>
  <c r="H455" i="11"/>
  <c r="G455" i="11"/>
  <c r="F455" i="11"/>
  <c r="E455" i="11"/>
  <c r="D455" i="11"/>
  <c r="C455" i="11"/>
  <c r="B455" i="11"/>
  <c r="L454" i="11"/>
  <c r="K454" i="11"/>
  <c r="J454" i="11"/>
  <c r="I454" i="11"/>
  <c r="G454" i="11"/>
  <c r="F454" i="11"/>
  <c r="E454" i="11"/>
  <c r="D454" i="11"/>
  <c r="C454" i="11"/>
  <c r="B454" i="11"/>
  <c r="L414" i="11"/>
  <c r="J414" i="11"/>
  <c r="L412" i="11"/>
  <c r="J412" i="11"/>
  <c r="L411" i="11"/>
  <c r="J411" i="11"/>
  <c r="L410" i="11"/>
  <c r="J410" i="11"/>
  <c r="L408" i="11"/>
  <c r="K408" i="11"/>
  <c r="J408" i="11"/>
  <c r="I408" i="11"/>
  <c r="H408" i="11"/>
  <c r="G408" i="11"/>
  <c r="F408" i="11"/>
  <c r="E408" i="11"/>
  <c r="D408" i="11"/>
  <c r="C408" i="11"/>
  <c r="B408" i="11"/>
  <c r="L407" i="11"/>
  <c r="K407" i="11"/>
  <c r="J407" i="11"/>
  <c r="I407" i="11"/>
  <c r="H407" i="11"/>
  <c r="G407" i="11"/>
  <c r="F407" i="11"/>
  <c r="E407" i="11"/>
  <c r="D407" i="11"/>
  <c r="C407" i="11"/>
  <c r="B407" i="11"/>
  <c r="L406" i="11"/>
  <c r="K406" i="11"/>
  <c r="J406" i="11"/>
  <c r="I406" i="11"/>
  <c r="H406" i="11"/>
  <c r="G406" i="11"/>
  <c r="F406" i="11"/>
  <c r="E406" i="11"/>
  <c r="D406" i="11"/>
  <c r="C406" i="11"/>
  <c r="B406" i="11"/>
  <c r="L405" i="11"/>
  <c r="K405" i="11"/>
  <c r="J405" i="11"/>
  <c r="I405" i="11"/>
  <c r="H405" i="11"/>
  <c r="G405" i="11"/>
  <c r="F405" i="11"/>
  <c r="E405" i="11"/>
  <c r="D405" i="11"/>
  <c r="C405" i="11"/>
  <c r="B405" i="11"/>
  <c r="L404" i="11"/>
  <c r="K404" i="11"/>
  <c r="J404" i="11"/>
  <c r="I404" i="11"/>
  <c r="H404" i="11"/>
  <c r="G404" i="11"/>
  <c r="F404" i="11"/>
  <c r="E404" i="11"/>
  <c r="D404" i="11"/>
  <c r="C404" i="11"/>
  <c r="B404" i="11"/>
  <c r="L403" i="11"/>
  <c r="K403" i="11"/>
  <c r="J403" i="11"/>
  <c r="I403" i="11"/>
  <c r="G403" i="11"/>
  <c r="F403" i="11"/>
  <c r="E403" i="11"/>
  <c r="D403" i="11"/>
  <c r="C403" i="11"/>
  <c r="B403" i="11"/>
  <c r="L363" i="11"/>
  <c r="J363" i="11"/>
  <c r="L361" i="11"/>
  <c r="J361" i="11"/>
  <c r="L360" i="11"/>
  <c r="J360" i="11"/>
  <c r="L359" i="11"/>
  <c r="J359" i="11"/>
  <c r="L357" i="11"/>
  <c r="K357" i="11"/>
  <c r="J357" i="11"/>
  <c r="I357" i="11"/>
  <c r="H357" i="11"/>
  <c r="G357" i="11"/>
  <c r="F357" i="11"/>
  <c r="E357" i="11"/>
  <c r="D357" i="11"/>
  <c r="C357" i="11"/>
  <c r="B357" i="11"/>
  <c r="L356" i="11"/>
  <c r="K356" i="11"/>
  <c r="J356" i="11"/>
  <c r="I356" i="11"/>
  <c r="H356" i="11"/>
  <c r="G356" i="11"/>
  <c r="F356" i="11"/>
  <c r="E356" i="11"/>
  <c r="D356" i="11"/>
  <c r="C356" i="11"/>
  <c r="B356" i="11"/>
  <c r="L355" i="11"/>
  <c r="K355" i="11"/>
  <c r="J355" i="11"/>
  <c r="I355" i="11"/>
  <c r="H355" i="11"/>
  <c r="G355" i="11"/>
  <c r="F355" i="11"/>
  <c r="E355" i="11"/>
  <c r="D355" i="11"/>
  <c r="C355" i="11"/>
  <c r="B355" i="11"/>
  <c r="L354" i="11"/>
  <c r="K354" i="11"/>
  <c r="J354" i="11"/>
  <c r="I354" i="11"/>
  <c r="H354" i="11"/>
  <c r="G354" i="11"/>
  <c r="F354" i="11"/>
  <c r="E354" i="11"/>
  <c r="D354" i="11"/>
  <c r="C354" i="11"/>
  <c r="B354" i="11"/>
  <c r="L353" i="11"/>
  <c r="K353" i="11"/>
  <c r="J353" i="11"/>
  <c r="I353" i="11"/>
  <c r="H353" i="11"/>
  <c r="G353" i="11"/>
  <c r="F353" i="11"/>
  <c r="E353" i="11"/>
  <c r="D353" i="11"/>
  <c r="C353" i="11"/>
  <c r="B353" i="11"/>
  <c r="L352" i="11"/>
  <c r="K352" i="11"/>
  <c r="J352" i="11"/>
  <c r="I352" i="11"/>
  <c r="G352" i="11"/>
  <c r="F352" i="11"/>
  <c r="E352" i="11"/>
  <c r="D352" i="11"/>
  <c r="C352" i="11"/>
  <c r="B352" i="11"/>
  <c r="L312" i="11"/>
  <c r="J312" i="11"/>
  <c r="L310" i="11"/>
  <c r="J310" i="11"/>
  <c r="L309" i="11"/>
  <c r="J309" i="11"/>
  <c r="L308" i="11"/>
  <c r="J308" i="11"/>
  <c r="L306" i="11"/>
  <c r="K306" i="11"/>
  <c r="J306" i="11"/>
  <c r="I306" i="11"/>
  <c r="H306" i="11"/>
  <c r="G306" i="11"/>
  <c r="F306" i="11"/>
  <c r="E306" i="11"/>
  <c r="D306" i="11"/>
  <c r="C306" i="11"/>
  <c r="B306" i="11"/>
  <c r="L305" i="11"/>
  <c r="K305" i="11"/>
  <c r="J305" i="11"/>
  <c r="I305" i="11"/>
  <c r="H305" i="11"/>
  <c r="G305" i="11"/>
  <c r="F305" i="11"/>
  <c r="E305" i="11"/>
  <c r="D305" i="11"/>
  <c r="C305" i="11"/>
  <c r="B305" i="11"/>
  <c r="L304" i="11"/>
  <c r="K304" i="11"/>
  <c r="J304" i="11"/>
  <c r="I304" i="11"/>
  <c r="H304" i="11"/>
  <c r="G304" i="11"/>
  <c r="F304" i="11"/>
  <c r="E304" i="11"/>
  <c r="D304" i="11"/>
  <c r="C304" i="11"/>
  <c r="B304" i="11"/>
  <c r="L303" i="11"/>
  <c r="K303" i="11"/>
  <c r="J303" i="11"/>
  <c r="I303" i="11"/>
  <c r="H303" i="11"/>
  <c r="G303" i="11"/>
  <c r="F303" i="11"/>
  <c r="E303" i="11"/>
  <c r="D303" i="11"/>
  <c r="C303" i="11"/>
  <c r="B303" i="11"/>
  <c r="L302" i="11"/>
  <c r="K302" i="11"/>
  <c r="J302" i="11"/>
  <c r="I302" i="11"/>
  <c r="H302" i="11"/>
  <c r="G302" i="11"/>
  <c r="F302" i="11"/>
  <c r="E302" i="11"/>
  <c r="D302" i="11"/>
  <c r="C302" i="11"/>
  <c r="B302" i="11"/>
  <c r="L301" i="11"/>
  <c r="K301" i="11"/>
  <c r="J301" i="11"/>
  <c r="I301" i="11"/>
  <c r="G301" i="11"/>
  <c r="F301" i="11"/>
  <c r="E301" i="11"/>
  <c r="D301" i="11"/>
  <c r="C301" i="11"/>
  <c r="B301" i="11"/>
  <c r="M250" i="11"/>
  <c r="K250" i="11"/>
  <c r="M248" i="11"/>
  <c r="K248" i="11"/>
  <c r="M247" i="11"/>
  <c r="K247" i="11"/>
  <c r="M246" i="11"/>
  <c r="K246" i="11"/>
  <c r="M244" i="11"/>
  <c r="L244" i="11"/>
  <c r="K244" i="11"/>
  <c r="J244" i="11"/>
  <c r="I244" i="11"/>
  <c r="H244" i="11"/>
  <c r="G244" i="11"/>
  <c r="F244" i="11"/>
  <c r="E244" i="11"/>
  <c r="D244" i="11"/>
  <c r="C244" i="11"/>
  <c r="B244" i="11"/>
  <c r="M243" i="11"/>
  <c r="L243" i="11"/>
  <c r="K243" i="11"/>
  <c r="J243" i="11"/>
  <c r="I243" i="11"/>
  <c r="H243" i="11"/>
  <c r="G243" i="11"/>
  <c r="F243" i="11"/>
  <c r="E243" i="11"/>
  <c r="D243" i="11"/>
  <c r="C243" i="11"/>
  <c r="B243" i="11"/>
  <c r="M242" i="11"/>
  <c r="L242" i="11"/>
  <c r="K242" i="11"/>
  <c r="J242" i="11"/>
  <c r="I242" i="11"/>
  <c r="H242" i="11"/>
  <c r="G242" i="11"/>
  <c r="F242" i="11"/>
  <c r="E242" i="11"/>
  <c r="D242" i="11"/>
  <c r="C242" i="11"/>
  <c r="B242" i="11"/>
  <c r="M241" i="11"/>
  <c r="L241" i="11"/>
  <c r="K241" i="11"/>
  <c r="J241" i="11"/>
  <c r="I241" i="11"/>
  <c r="H241" i="11"/>
  <c r="G241" i="11"/>
  <c r="F241" i="11"/>
  <c r="E241" i="11"/>
  <c r="D241" i="11"/>
  <c r="C241" i="11"/>
  <c r="B241" i="11"/>
  <c r="M240" i="11"/>
  <c r="L240" i="11"/>
  <c r="K240" i="11"/>
  <c r="J240" i="11"/>
  <c r="I240" i="11"/>
  <c r="H240" i="11"/>
  <c r="G240" i="11"/>
  <c r="F240" i="11"/>
  <c r="E240" i="11"/>
  <c r="D240" i="11"/>
  <c r="C240" i="11"/>
  <c r="B240" i="11"/>
  <c r="M239" i="11"/>
  <c r="L239" i="11"/>
  <c r="K239" i="11"/>
  <c r="J239" i="11"/>
  <c r="I239" i="11"/>
  <c r="H239" i="11"/>
  <c r="G239" i="11"/>
  <c r="F239" i="11"/>
  <c r="E239" i="11"/>
  <c r="D239" i="11"/>
  <c r="C239" i="11"/>
  <c r="B239" i="11"/>
  <c r="J199" i="11"/>
  <c r="L197" i="11"/>
  <c r="J197" i="11"/>
  <c r="L196" i="11"/>
  <c r="J196" i="11"/>
  <c r="L195" i="11"/>
  <c r="J195" i="11"/>
  <c r="L193" i="11"/>
  <c r="K193" i="11"/>
  <c r="J193" i="11"/>
  <c r="I193" i="11"/>
  <c r="G193" i="11"/>
  <c r="F193" i="11"/>
  <c r="E193" i="11"/>
  <c r="D193" i="11"/>
  <c r="C193" i="11"/>
  <c r="B193" i="11"/>
  <c r="L192" i="11"/>
  <c r="K192" i="11"/>
  <c r="J192" i="11"/>
  <c r="I192" i="11"/>
  <c r="G192" i="11"/>
  <c r="F192" i="11"/>
  <c r="E192" i="11"/>
  <c r="D192" i="11"/>
  <c r="C192" i="11"/>
  <c r="B192" i="11"/>
  <c r="L191" i="11"/>
  <c r="K191" i="11"/>
  <c r="J191" i="11"/>
  <c r="I191" i="11"/>
  <c r="G191" i="11"/>
  <c r="F191" i="11"/>
  <c r="E191" i="11"/>
  <c r="D191" i="11"/>
  <c r="C191" i="11"/>
  <c r="B191" i="11"/>
  <c r="L190" i="11"/>
  <c r="K190" i="11"/>
  <c r="J190" i="11"/>
  <c r="I190" i="11"/>
  <c r="G190" i="11"/>
  <c r="F190" i="11"/>
  <c r="E190" i="11"/>
  <c r="D190" i="11"/>
  <c r="C190" i="11"/>
  <c r="B190" i="11"/>
  <c r="L189" i="11"/>
  <c r="K189" i="11"/>
  <c r="J189" i="11"/>
  <c r="I189" i="11"/>
  <c r="H189" i="11"/>
  <c r="G189" i="11"/>
  <c r="F189" i="11"/>
  <c r="E189" i="11"/>
  <c r="D189" i="11"/>
  <c r="C189" i="11"/>
  <c r="B189" i="11"/>
  <c r="L188" i="11"/>
  <c r="K188" i="11"/>
  <c r="J188" i="11"/>
  <c r="I188" i="11"/>
  <c r="H188" i="11"/>
  <c r="G188" i="11"/>
  <c r="F188" i="11"/>
  <c r="E188" i="11"/>
  <c r="D188" i="11"/>
  <c r="C188" i="11"/>
  <c r="B188" i="11"/>
  <c r="L148" i="11"/>
  <c r="J148" i="11"/>
  <c r="L146" i="11"/>
  <c r="J146" i="11"/>
  <c r="L145" i="11"/>
  <c r="J145" i="11"/>
  <c r="L144" i="11"/>
  <c r="J144" i="11"/>
  <c r="L142" i="11"/>
  <c r="K142" i="11"/>
  <c r="J142" i="11"/>
  <c r="I142" i="11"/>
  <c r="G142" i="11"/>
  <c r="F142" i="11"/>
  <c r="E142" i="11"/>
  <c r="D142" i="11"/>
  <c r="C142" i="11"/>
  <c r="B142" i="11"/>
  <c r="L141" i="11"/>
  <c r="K141" i="11"/>
  <c r="J141" i="11"/>
  <c r="I141" i="11"/>
  <c r="G141" i="11"/>
  <c r="F141" i="11"/>
  <c r="E141" i="11"/>
  <c r="D141" i="11"/>
  <c r="C141" i="11"/>
  <c r="B141" i="11"/>
  <c r="L140" i="11"/>
  <c r="K140" i="11"/>
  <c r="J140" i="11"/>
  <c r="I140" i="11"/>
  <c r="G140" i="11"/>
  <c r="F140" i="11"/>
  <c r="E140" i="11"/>
  <c r="D140" i="11"/>
  <c r="C140" i="11"/>
  <c r="B140" i="11"/>
  <c r="L139" i="11"/>
  <c r="K139" i="11"/>
  <c r="J139" i="11"/>
  <c r="I139" i="11"/>
  <c r="G139" i="11"/>
  <c r="F139" i="11"/>
  <c r="E139" i="11"/>
  <c r="D139" i="11"/>
  <c r="C139" i="11"/>
  <c r="B139" i="11"/>
  <c r="L138" i="11"/>
  <c r="K138" i="11"/>
  <c r="J138" i="11"/>
  <c r="I138" i="11"/>
  <c r="H138" i="11"/>
  <c r="G138" i="11"/>
  <c r="F138" i="11"/>
  <c r="E138" i="11"/>
  <c r="D138" i="11"/>
  <c r="C138" i="11"/>
  <c r="B138" i="11"/>
  <c r="L137" i="11"/>
  <c r="K137" i="11"/>
  <c r="J137" i="11"/>
  <c r="I137" i="11"/>
  <c r="H137" i="11"/>
  <c r="G137" i="11"/>
  <c r="F137" i="11"/>
  <c r="E137" i="11"/>
  <c r="D137" i="11"/>
  <c r="C137" i="11"/>
  <c r="B137" i="11"/>
  <c r="L97" i="11"/>
  <c r="J97" i="11"/>
  <c r="L95" i="11"/>
  <c r="J95" i="11"/>
  <c r="L94" i="11"/>
  <c r="J94" i="11"/>
  <c r="L93" i="11"/>
  <c r="J93" i="11"/>
  <c r="L91" i="11"/>
  <c r="K91" i="11"/>
  <c r="J91" i="11"/>
  <c r="I91" i="11"/>
  <c r="G91" i="11"/>
  <c r="F91" i="11"/>
  <c r="E91" i="11"/>
  <c r="D91" i="11"/>
  <c r="C91" i="11"/>
  <c r="B91" i="11"/>
  <c r="L90" i="11"/>
  <c r="K90" i="11"/>
  <c r="J90" i="11"/>
  <c r="I90" i="11"/>
  <c r="G90" i="11"/>
  <c r="F90" i="11"/>
  <c r="E90" i="11"/>
  <c r="D90" i="11"/>
  <c r="C90" i="11"/>
  <c r="B90" i="11"/>
  <c r="L89" i="11"/>
  <c r="K89" i="11"/>
  <c r="J89" i="11"/>
  <c r="I89" i="11"/>
  <c r="G89" i="11"/>
  <c r="F89" i="11"/>
  <c r="E89" i="11"/>
  <c r="D89" i="11"/>
  <c r="C89" i="11"/>
  <c r="B89" i="11"/>
  <c r="L88" i="11"/>
  <c r="K88" i="11"/>
  <c r="J88" i="11"/>
  <c r="I88" i="11"/>
  <c r="G88" i="11"/>
  <c r="F88" i="11"/>
  <c r="E88" i="11"/>
  <c r="D88" i="11"/>
  <c r="C88" i="11"/>
  <c r="B88" i="11"/>
  <c r="L87" i="11"/>
  <c r="K87" i="11"/>
  <c r="J87" i="11"/>
  <c r="I87" i="11"/>
  <c r="H87" i="11"/>
  <c r="G87" i="11"/>
  <c r="F87" i="11"/>
  <c r="E87" i="11"/>
  <c r="D87" i="11"/>
  <c r="C87" i="11"/>
  <c r="B87" i="11"/>
  <c r="L86" i="11"/>
  <c r="K86" i="11"/>
  <c r="J86" i="11"/>
  <c r="I86" i="11"/>
  <c r="H86" i="11"/>
  <c r="G86" i="11"/>
  <c r="F86" i="11"/>
  <c r="E86" i="11"/>
  <c r="D86" i="11"/>
  <c r="C86" i="11"/>
  <c r="B86" i="11"/>
  <c r="L46" i="11"/>
  <c r="J46" i="11"/>
  <c r="L44" i="11"/>
  <c r="J44" i="11"/>
  <c r="L43" i="11"/>
  <c r="J43" i="11"/>
  <c r="L42" i="11"/>
  <c r="J42" i="11"/>
  <c r="L40" i="11"/>
  <c r="K40" i="11"/>
  <c r="J40" i="11"/>
  <c r="I40" i="11"/>
  <c r="G40" i="11"/>
  <c r="F40" i="11"/>
  <c r="E40" i="11"/>
  <c r="D40" i="11"/>
  <c r="C40" i="11"/>
  <c r="B40" i="11"/>
  <c r="L39" i="11"/>
  <c r="K39" i="11"/>
  <c r="J39" i="11"/>
  <c r="I39" i="11"/>
  <c r="G39" i="11"/>
  <c r="F39" i="11"/>
  <c r="E39" i="11"/>
  <c r="D39" i="11"/>
  <c r="C39" i="11"/>
  <c r="B39" i="11"/>
  <c r="L38" i="11"/>
  <c r="K38" i="11"/>
  <c r="J38" i="11"/>
  <c r="I38" i="11"/>
  <c r="G38" i="11"/>
  <c r="F38" i="11"/>
  <c r="E38" i="11"/>
  <c r="D38" i="11"/>
  <c r="C38" i="11"/>
  <c r="B38" i="11"/>
  <c r="L37" i="11"/>
  <c r="K37" i="11"/>
  <c r="J37" i="11"/>
  <c r="I37" i="11"/>
  <c r="G37" i="11"/>
  <c r="F37" i="11"/>
  <c r="E37" i="11"/>
  <c r="D37" i="11"/>
  <c r="C37" i="11"/>
  <c r="B37" i="11"/>
  <c r="L36" i="11"/>
  <c r="K36" i="11"/>
  <c r="J36" i="11"/>
  <c r="I36" i="11"/>
  <c r="H36" i="11"/>
  <c r="G36" i="11"/>
  <c r="F36" i="11"/>
  <c r="E36" i="11"/>
  <c r="D36" i="11"/>
  <c r="C36" i="11"/>
  <c r="B36" i="11"/>
  <c r="L35" i="11"/>
  <c r="K35" i="11"/>
  <c r="J35" i="11"/>
  <c r="I35" i="11"/>
  <c r="H35" i="11"/>
  <c r="G35" i="11"/>
  <c r="F35" i="11"/>
  <c r="E35" i="11"/>
  <c r="D35" i="11"/>
  <c r="C35" i="11"/>
  <c r="B35" i="11"/>
  <c r="B283" i="11"/>
  <c r="B284" i="11"/>
  <c r="D412" i="7" s="1"/>
  <c r="B285" i="11"/>
  <c r="B286" i="11"/>
  <c r="B511" i="7" s="1"/>
  <c r="G29" i="17"/>
  <c r="G30" i="17"/>
  <c r="G31" i="17"/>
  <c r="G32" i="17"/>
  <c r="G33" i="17"/>
  <c r="G34" i="17"/>
  <c r="G35" i="17"/>
  <c r="G36" i="17"/>
  <c r="G37" i="17"/>
  <c r="G38" i="17"/>
  <c r="G39" i="17"/>
  <c r="G28" i="17"/>
  <c r="A463" i="7" l="1"/>
  <c r="A461" i="7"/>
  <c r="A442" i="7"/>
  <c r="A457" i="7"/>
  <c r="A453" i="7"/>
  <c r="A459" i="7"/>
  <c r="A455" i="7"/>
  <c r="A462" i="7"/>
  <c r="A460" i="7"/>
  <c r="A441" i="7"/>
  <c r="A458" i="7"/>
  <c r="A456" i="7"/>
  <c r="A439" i="7"/>
  <c r="A426" i="7"/>
  <c r="A452" i="7"/>
  <c r="A437" i="7"/>
  <c r="C426" i="7"/>
  <c r="C425" i="7"/>
  <c r="A440" i="7"/>
  <c r="A438" i="7"/>
  <c r="A454" i="7"/>
  <c r="A427" i="7"/>
  <c r="C427" i="7"/>
  <c r="A425" i="7"/>
  <c r="D389" i="7"/>
  <c r="D392" i="7"/>
  <c r="D439" i="7"/>
  <c r="D442" i="7"/>
  <c r="D489" i="7"/>
  <c r="D492" i="7"/>
  <c r="D402" i="7"/>
  <c r="D405" i="7"/>
  <c r="D408" i="7"/>
  <c r="D411" i="7"/>
  <c r="D452" i="7"/>
  <c r="D455" i="7"/>
  <c r="D458" i="7"/>
  <c r="D461" i="7"/>
  <c r="D502" i="7"/>
  <c r="D505" i="7"/>
  <c r="D508" i="7"/>
  <c r="D511" i="7"/>
  <c r="B225" i="11"/>
  <c r="J36" i="6"/>
  <c r="D45" i="7"/>
  <c r="B377" i="7"/>
  <c r="B475" i="7"/>
  <c r="E411" i="7"/>
  <c r="E458" i="7"/>
  <c r="E505" i="7"/>
  <c r="B387" i="7"/>
  <c r="B390" i="7"/>
  <c r="B437" i="7"/>
  <c r="B440" i="7"/>
  <c r="B487" i="7"/>
  <c r="B490" i="7"/>
  <c r="B403" i="7"/>
  <c r="B406" i="7"/>
  <c r="B409" i="7"/>
  <c r="B412" i="7"/>
  <c r="B453" i="7"/>
  <c r="B456" i="7"/>
  <c r="B459" i="7"/>
  <c r="B462" i="7"/>
  <c r="B503" i="7"/>
  <c r="B506" i="7"/>
  <c r="B509" i="7"/>
  <c r="B512" i="7"/>
  <c r="B123" i="11"/>
  <c r="D16" i="11" s="1"/>
  <c r="D33" i="7"/>
  <c r="F36" i="6"/>
  <c r="H37" i="6"/>
  <c r="D40" i="7"/>
  <c r="D47" i="7"/>
  <c r="J38" i="6"/>
  <c r="E377" i="7"/>
  <c r="B476" i="7"/>
  <c r="E327" i="7"/>
  <c r="A362" i="7"/>
  <c r="A360" i="7"/>
  <c r="A341" i="7"/>
  <c r="A363" i="7"/>
  <c r="A361" i="7"/>
  <c r="A342" i="7"/>
  <c r="A327" i="7"/>
  <c r="A359" i="7"/>
  <c r="A357" i="7"/>
  <c r="A340" i="7"/>
  <c r="A325" i="7"/>
  <c r="A338" i="7"/>
  <c r="A356" i="7"/>
  <c r="A339" i="7"/>
  <c r="A352" i="7"/>
  <c r="A337" i="7"/>
  <c r="A355" i="7"/>
  <c r="A353" i="7"/>
  <c r="A326" i="7"/>
  <c r="A358" i="7"/>
  <c r="A354" i="7"/>
  <c r="C403" i="7"/>
  <c r="C406" i="7"/>
  <c r="C409" i="7"/>
  <c r="C412" i="7"/>
  <c r="C453" i="7"/>
  <c r="C456" i="7"/>
  <c r="C459" i="7"/>
  <c r="C462" i="7"/>
  <c r="C503" i="7"/>
  <c r="C506" i="7"/>
  <c r="C509" i="7"/>
  <c r="C512" i="7"/>
  <c r="D34" i="7"/>
  <c r="F37" i="6"/>
  <c r="D41" i="7"/>
  <c r="H38" i="6"/>
  <c r="B425" i="7"/>
  <c r="D476" i="7"/>
  <c r="E405" i="7"/>
  <c r="E452" i="7"/>
  <c r="E461" i="7"/>
  <c r="E508" i="7"/>
  <c r="B174" i="11"/>
  <c r="D39" i="7"/>
  <c r="H36" i="6"/>
  <c r="C387" i="7"/>
  <c r="C437" i="7"/>
  <c r="C487" i="7"/>
  <c r="D387" i="7"/>
  <c r="D390" i="7"/>
  <c r="D437" i="7"/>
  <c r="D440" i="7"/>
  <c r="D487" i="7"/>
  <c r="D490" i="7"/>
  <c r="D403" i="7"/>
  <c r="D406" i="7"/>
  <c r="D409" i="7"/>
  <c r="D453" i="7"/>
  <c r="D456" i="7"/>
  <c r="D459" i="7"/>
  <c r="D462" i="7"/>
  <c r="D503" i="7"/>
  <c r="D506" i="7"/>
  <c r="D509" i="7"/>
  <c r="D512" i="7"/>
  <c r="F38" i="6"/>
  <c r="D35" i="7"/>
  <c r="D425" i="7"/>
  <c r="B477" i="7"/>
  <c r="C375" i="7"/>
  <c r="A413" i="7"/>
  <c r="A409" i="7"/>
  <c r="A405" i="7"/>
  <c r="A375" i="7"/>
  <c r="A404" i="7"/>
  <c r="A376" i="7"/>
  <c r="A402" i="7"/>
  <c r="A387" i="7"/>
  <c r="C377" i="7"/>
  <c r="A392" i="7"/>
  <c r="C376" i="7"/>
  <c r="A412" i="7"/>
  <c r="A410" i="7"/>
  <c r="A391" i="7"/>
  <c r="A408" i="7"/>
  <c r="A406" i="7"/>
  <c r="A389" i="7"/>
  <c r="A377" i="7"/>
  <c r="A411" i="7"/>
  <c r="A390" i="7"/>
  <c r="A388" i="7"/>
  <c r="A407" i="7"/>
  <c r="A403" i="7"/>
  <c r="E389" i="7"/>
  <c r="E392" i="7"/>
  <c r="E408" i="7"/>
  <c r="E455" i="7"/>
  <c r="E502" i="7"/>
  <c r="E511" i="7"/>
  <c r="D46" i="7"/>
  <c r="J37" i="6"/>
  <c r="C390" i="7"/>
  <c r="C440" i="7"/>
  <c r="C490" i="7"/>
  <c r="E387" i="7"/>
  <c r="E390" i="7"/>
  <c r="E437" i="7"/>
  <c r="E440" i="7"/>
  <c r="E487" i="7"/>
  <c r="E490" i="7"/>
  <c r="E403" i="7"/>
  <c r="E406" i="7"/>
  <c r="E409" i="7"/>
  <c r="E412" i="7"/>
  <c r="E453" i="7"/>
  <c r="E456" i="7"/>
  <c r="E459" i="7"/>
  <c r="E462" i="7"/>
  <c r="E503" i="7"/>
  <c r="E506" i="7"/>
  <c r="E509" i="7"/>
  <c r="E512" i="7"/>
  <c r="D51" i="7"/>
  <c r="B276" i="11"/>
  <c r="J16" i="11" s="1"/>
  <c r="L36" i="6"/>
  <c r="E425" i="7"/>
  <c r="D477" i="7"/>
  <c r="E402" i="7"/>
  <c r="D377" i="7"/>
  <c r="B388" i="7"/>
  <c r="B391" i="7"/>
  <c r="B438" i="7"/>
  <c r="B441" i="7"/>
  <c r="B488" i="7"/>
  <c r="B491" i="7"/>
  <c r="B404" i="7"/>
  <c r="B407" i="7"/>
  <c r="B410" i="7"/>
  <c r="B413" i="7"/>
  <c r="B454" i="7"/>
  <c r="B457" i="7"/>
  <c r="B460" i="7"/>
  <c r="B463" i="7"/>
  <c r="B504" i="7"/>
  <c r="B507" i="7"/>
  <c r="B510" i="7"/>
  <c r="B513" i="7"/>
  <c r="D52" i="7"/>
  <c r="L37" i="6"/>
  <c r="B542" i="11"/>
  <c r="B375" i="7"/>
  <c r="B426" i="7"/>
  <c r="C404" i="7"/>
  <c r="C407" i="7"/>
  <c r="C410" i="7"/>
  <c r="C413" i="7"/>
  <c r="C454" i="7"/>
  <c r="C457" i="7"/>
  <c r="C460" i="7"/>
  <c r="C463" i="7"/>
  <c r="C504" i="7"/>
  <c r="C507" i="7"/>
  <c r="C510" i="7"/>
  <c r="C513" i="7"/>
  <c r="L38" i="6"/>
  <c r="D53" i="7"/>
  <c r="B338" i="11"/>
  <c r="D375" i="7"/>
  <c r="D426" i="7"/>
  <c r="D388" i="7"/>
  <c r="D391" i="7"/>
  <c r="D438" i="7"/>
  <c r="D441" i="7"/>
  <c r="D488" i="7"/>
  <c r="D491" i="7"/>
  <c r="D28" i="7"/>
  <c r="C37" i="6"/>
  <c r="D404" i="7"/>
  <c r="D407" i="7"/>
  <c r="D410" i="7"/>
  <c r="D413" i="7"/>
  <c r="D454" i="7"/>
  <c r="D457" i="7"/>
  <c r="D460" i="7"/>
  <c r="D463" i="7"/>
  <c r="D504" i="7"/>
  <c r="D507" i="7"/>
  <c r="D510" i="7"/>
  <c r="D513" i="7"/>
  <c r="E375" i="7"/>
  <c r="E426" i="7"/>
  <c r="C388" i="7"/>
  <c r="C391" i="7"/>
  <c r="E388" i="7"/>
  <c r="E438" i="7"/>
  <c r="E488" i="7"/>
  <c r="E491" i="7"/>
  <c r="B360" i="7"/>
  <c r="E404" i="7"/>
  <c r="E407" i="7"/>
  <c r="E410" i="7"/>
  <c r="E413" i="7"/>
  <c r="E454" i="7"/>
  <c r="E457" i="7"/>
  <c r="E460" i="7"/>
  <c r="E463" i="7"/>
  <c r="E504" i="7"/>
  <c r="E507" i="7"/>
  <c r="E510" i="7"/>
  <c r="E513" i="7"/>
  <c r="B376" i="7"/>
  <c r="B427" i="7"/>
  <c r="E391" i="7"/>
  <c r="E441" i="7"/>
  <c r="B389" i="7"/>
  <c r="B392" i="7"/>
  <c r="B439" i="7"/>
  <c r="B442" i="7"/>
  <c r="B489" i="7"/>
  <c r="B492" i="7"/>
  <c r="B402" i="7"/>
  <c r="B405" i="7"/>
  <c r="B408" i="7"/>
  <c r="B411" i="7"/>
  <c r="B452" i="7"/>
  <c r="B455" i="7"/>
  <c r="B458" i="7"/>
  <c r="B461" i="7"/>
  <c r="B502" i="7"/>
  <c r="B505" i="7"/>
  <c r="B508" i="7"/>
  <c r="D376" i="7"/>
  <c r="D427" i="7"/>
  <c r="A505" i="7"/>
  <c r="A476" i="7"/>
  <c r="E476" i="7"/>
  <c r="A477" i="7"/>
  <c r="C476" i="7"/>
  <c r="E475" i="7"/>
  <c r="A488" i="7"/>
  <c r="A512" i="7"/>
  <c r="A491" i="7"/>
  <c r="A508" i="7"/>
  <c r="A503" i="7"/>
  <c r="A510" i="7"/>
  <c r="A513" i="7"/>
  <c r="A511" i="7"/>
  <c r="A492" i="7"/>
  <c r="C475" i="7"/>
  <c r="A507" i="7"/>
  <c r="A490" i="7"/>
  <c r="A509" i="7"/>
  <c r="E477" i="7"/>
  <c r="C477" i="7"/>
  <c r="A489" i="7"/>
  <c r="A475" i="7"/>
  <c r="A487" i="7"/>
  <c r="A506" i="7"/>
  <c r="A502" i="7"/>
  <c r="A504" i="7"/>
  <c r="C389" i="7"/>
  <c r="C392" i="7"/>
  <c r="C439" i="7"/>
  <c r="C442" i="7"/>
  <c r="C489" i="7"/>
  <c r="C492" i="7"/>
  <c r="D29" i="7"/>
  <c r="C38" i="6"/>
  <c r="C402" i="7"/>
  <c r="C405" i="7"/>
  <c r="C408" i="7"/>
  <c r="C411" i="7"/>
  <c r="C452" i="7"/>
  <c r="C455" i="7"/>
  <c r="C458" i="7"/>
  <c r="C461" i="7"/>
  <c r="C502" i="7"/>
  <c r="C505" i="7"/>
  <c r="C508" i="7"/>
  <c r="C511" i="7"/>
  <c r="B440" i="11"/>
  <c r="E376" i="7"/>
  <c r="E427" i="7"/>
  <c r="C362" i="7"/>
  <c r="B339" i="7"/>
  <c r="C339" i="7"/>
  <c r="D341" i="7"/>
  <c r="E341" i="7"/>
  <c r="B355" i="7"/>
  <c r="C355" i="7"/>
  <c r="D326" i="7"/>
  <c r="C107" i="7"/>
  <c r="C338" i="7"/>
  <c r="C354" i="7"/>
  <c r="B359" i="7"/>
  <c r="D325" i="7"/>
  <c r="E340" i="7"/>
  <c r="D338" i="7"/>
  <c r="L63" i="11"/>
  <c r="B352" i="7"/>
  <c r="C359" i="7"/>
  <c r="E325" i="7"/>
  <c r="B337" i="7"/>
  <c r="E338" i="7"/>
  <c r="B341" i="7"/>
  <c r="C352" i="7"/>
  <c r="B357" i="7"/>
  <c r="C341" i="7"/>
  <c r="C357" i="7"/>
  <c r="B362" i="7"/>
  <c r="B326" i="7"/>
  <c r="C337" i="7"/>
  <c r="E339" i="7"/>
  <c r="B342" i="7"/>
  <c r="C353" i="7"/>
  <c r="B358" i="7"/>
  <c r="C360" i="7"/>
  <c r="E326" i="7"/>
  <c r="D337" i="7"/>
  <c r="C342" i="7"/>
  <c r="C358" i="7"/>
  <c r="B363" i="7"/>
  <c r="B327" i="7"/>
  <c r="D339" i="7"/>
  <c r="B353" i="7"/>
  <c r="E337" i="7"/>
  <c r="B340" i="7"/>
  <c r="D342" i="7"/>
  <c r="B356" i="7"/>
  <c r="C363" i="7"/>
  <c r="C340" i="7"/>
  <c r="E342" i="7"/>
  <c r="C356" i="7"/>
  <c r="B361" i="7"/>
  <c r="B325" i="7"/>
  <c r="D327" i="7"/>
  <c r="B338" i="7"/>
  <c r="D340" i="7"/>
  <c r="B354" i="7"/>
  <c r="C361" i="7"/>
  <c r="E278" i="7"/>
  <c r="E277" i="7"/>
  <c r="E276" i="7"/>
  <c r="E128" i="7"/>
  <c r="E127" i="7"/>
  <c r="E126" i="7"/>
  <c r="D22" i="7"/>
  <c r="B22" i="7"/>
  <c r="H29" i="17"/>
  <c r="H30" i="17"/>
  <c r="H31" i="17"/>
  <c r="H32" i="17"/>
  <c r="H33" i="17"/>
  <c r="H34" i="17"/>
  <c r="H35" i="17"/>
  <c r="H36" i="17"/>
  <c r="H37" i="17"/>
  <c r="H38" i="17"/>
  <c r="H39" i="17"/>
  <c r="H28" i="17"/>
  <c r="E37" i="17"/>
  <c r="E38" i="17"/>
  <c r="E39" i="17"/>
  <c r="E36" i="17"/>
  <c r="E35" i="17"/>
  <c r="E34" i="17"/>
  <c r="E33" i="17"/>
  <c r="E32" i="17"/>
  <c r="E29" i="17"/>
  <c r="E30" i="17"/>
  <c r="E31" i="17"/>
  <c r="E28" i="17"/>
  <c r="C37" i="17"/>
  <c r="D37" i="17" s="1"/>
  <c r="C38" i="17"/>
  <c r="D38" i="17" s="1"/>
  <c r="C39" i="17"/>
  <c r="D39" i="17" s="1"/>
  <c r="C36" i="17"/>
  <c r="D36" i="17" s="1"/>
  <c r="C33" i="17"/>
  <c r="D33" i="17" s="1"/>
  <c r="C34" i="17"/>
  <c r="D34" i="17" s="1"/>
  <c r="C35" i="17"/>
  <c r="D35" i="17" s="1"/>
  <c r="C32" i="17"/>
  <c r="D32" i="17" s="1"/>
  <c r="C29" i="17"/>
  <c r="D29" i="17" s="1"/>
  <c r="C30" i="17"/>
  <c r="D30" i="17" s="1"/>
  <c r="C31" i="17"/>
  <c r="D31" i="17" s="1"/>
  <c r="C28" i="17"/>
  <c r="D28" i="17" s="1"/>
  <c r="E15" i="17"/>
  <c r="E16" i="17"/>
  <c r="E17" i="17"/>
  <c r="E14" i="17"/>
  <c r="E11" i="17"/>
  <c r="E12" i="17"/>
  <c r="E13" i="17"/>
  <c r="E10" i="17"/>
  <c r="E7" i="17"/>
  <c r="E8" i="17"/>
  <c r="E9" i="17"/>
  <c r="E6" i="17"/>
  <c r="H7" i="17"/>
  <c r="H8" i="17"/>
  <c r="H9" i="17"/>
  <c r="H10" i="17"/>
  <c r="H11" i="17"/>
  <c r="H12" i="17"/>
  <c r="H13" i="17"/>
  <c r="H14" i="17"/>
  <c r="H15" i="17"/>
  <c r="H16" i="17"/>
  <c r="H17" i="17"/>
  <c r="H6" i="17"/>
  <c r="D19" i="7"/>
  <c r="B19" i="7"/>
  <c r="B287" i="11"/>
  <c r="B30" i="4"/>
  <c r="B31" i="4" s="1"/>
  <c r="B28" i="4"/>
  <c r="B12" i="4"/>
  <c r="C19" i="7" s="1"/>
  <c r="B10" i="4"/>
  <c r="C37" i="16"/>
  <c r="C38" i="16"/>
  <c r="C39" i="16"/>
  <c r="F39" i="16" s="1"/>
  <c r="C36" i="16"/>
  <c r="E36" i="16" s="1"/>
  <c r="C33" i="16"/>
  <c r="E33" i="16" s="1"/>
  <c r="C34" i="16"/>
  <c r="E34" i="16" s="1"/>
  <c r="C35" i="16"/>
  <c r="C32" i="16"/>
  <c r="C29" i="16"/>
  <c r="C30" i="16"/>
  <c r="E30" i="16" s="1"/>
  <c r="C31" i="16"/>
  <c r="C28" i="16"/>
  <c r="D37" i="16"/>
  <c r="D38" i="16"/>
  <c r="D39" i="16"/>
  <c r="D36" i="16"/>
  <c r="D33" i="16"/>
  <c r="F33" i="16" s="1"/>
  <c r="D34" i="16"/>
  <c r="D35" i="16"/>
  <c r="D32" i="16"/>
  <c r="E32" i="16" s="1"/>
  <c r="D29" i="16"/>
  <c r="D30" i="16"/>
  <c r="D31" i="16"/>
  <c r="F31" i="16" s="1"/>
  <c r="D28" i="16"/>
  <c r="D17" i="16"/>
  <c r="D16" i="16"/>
  <c r="D15" i="16"/>
  <c r="D14" i="16"/>
  <c r="D13" i="16"/>
  <c r="D12" i="16"/>
  <c r="D11" i="16"/>
  <c r="D10" i="16"/>
  <c r="D9" i="16"/>
  <c r="D8" i="16"/>
  <c r="D7" i="16"/>
  <c r="B29" i="4"/>
  <c r="B23" i="4"/>
  <c r="B17" i="4"/>
  <c r="B11" i="4"/>
  <c r="A562" i="7" l="1"/>
  <c r="A560" i="7"/>
  <c r="A541" i="7"/>
  <c r="A563" i="7"/>
  <c r="A561" i="7"/>
  <c r="A542" i="7"/>
  <c r="A553" i="7"/>
  <c r="A559" i="7"/>
  <c r="A557" i="7"/>
  <c r="A540" i="7"/>
  <c r="A527" i="7"/>
  <c r="A538" i="7"/>
  <c r="C527" i="7"/>
  <c r="E526" i="7"/>
  <c r="A558" i="7"/>
  <c r="A556" i="7"/>
  <c r="A539" i="7"/>
  <c r="C526" i="7"/>
  <c r="A554" i="7"/>
  <c r="A552" i="7"/>
  <c r="A537" i="7"/>
  <c r="E525" i="7"/>
  <c r="A525" i="7"/>
  <c r="A555" i="7"/>
  <c r="C525" i="7"/>
  <c r="E527" i="7"/>
  <c r="A526" i="7"/>
  <c r="D527" i="7"/>
  <c r="C561" i="7"/>
  <c r="C558" i="7"/>
  <c r="C555" i="7"/>
  <c r="C552" i="7"/>
  <c r="C542" i="7"/>
  <c r="C539" i="7"/>
  <c r="B527" i="7"/>
  <c r="B561" i="7"/>
  <c r="B558" i="7"/>
  <c r="B555" i="7"/>
  <c r="B552" i="7"/>
  <c r="B542" i="7"/>
  <c r="B539" i="7"/>
  <c r="E538" i="7"/>
  <c r="D526" i="7"/>
  <c r="E563" i="7"/>
  <c r="E560" i="7"/>
  <c r="E557" i="7"/>
  <c r="E554" i="7"/>
  <c r="E541" i="7"/>
  <c r="C538" i="7"/>
  <c r="B526" i="7"/>
  <c r="D563" i="7"/>
  <c r="D560" i="7"/>
  <c r="D557" i="7"/>
  <c r="D554" i="7"/>
  <c r="D541" i="7"/>
  <c r="D538" i="7"/>
  <c r="D525" i="7"/>
  <c r="C563" i="7"/>
  <c r="C560" i="7"/>
  <c r="C557" i="7"/>
  <c r="C554" i="7"/>
  <c r="B525" i="7"/>
  <c r="B563" i="7"/>
  <c r="B560" i="7"/>
  <c r="B557" i="7"/>
  <c r="B554" i="7"/>
  <c r="B541" i="7"/>
  <c r="B538" i="7"/>
  <c r="E552" i="7"/>
  <c r="E542" i="7"/>
  <c r="E562" i="7"/>
  <c r="E559" i="7"/>
  <c r="E556" i="7"/>
  <c r="E553" i="7"/>
  <c r="E540" i="7"/>
  <c r="E537" i="7"/>
  <c r="C540" i="7"/>
  <c r="E555" i="7"/>
  <c r="E539" i="7"/>
  <c r="D562" i="7"/>
  <c r="D559" i="7"/>
  <c r="D556" i="7"/>
  <c r="D553" i="7"/>
  <c r="D540" i="7"/>
  <c r="D537" i="7"/>
  <c r="E558" i="7"/>
  <c r="C562" i="7"/>
  <c r="C559" i="7"/>
  <c r="C556" i="7"/>
  <c r="C553" i="7"/>
  <c r="C537" i="7"/>
  <c r="B562" i="7"/>
  <c r="B559" i="7"/>
  <c r="B556" i="7"/>
  <c r="B553" i="7"/>
  <c r="B540" i="7"/>
  <c r="B537" i="7"/>
  <c r="E561" i="7"/>
  <c r="D561" i="7"/>
  <c r="D558" i="7"/>
  <c r="D555" i="7"/>
  <c r="D552" i="7"/>
  <c r="D542" i="7"/>
  <c r="D539" i="7"/>
  <c r="C541" i="7"/>
  <c r="B76" i="6"/>
  <c r="H16" i="11"/>
  <c r="B75" i="6"/>
  <c r="F16" i="11"/>
  <c r="L67" i="11"/>
  <c r="B69" i="11"/>
  <c r="E56" i="7"/>
  <c r="F56" i="7" s="1"/>
  <c r="E64" i="4"/>
  <c r="E55" i="7"/>
  <c r="F55" i="7" s="1"/>
  <c r="F37" i="16"/>
  <c r="E69" i="4"/>
  <c r="E54" i="7"/>
  <c r="F54" i="7" s="1"/>
  <c r="E68" i="4"/>
  <c r="E53" i="7"/>
  <c r="F53" i="7" s="1"/>
  <c r="E31" i="16"/>
  <c r="E67" i="4"/>
  <c r="E52" i="7"/>
  <c r="F52" i="7" s="1"/>
  <c r="E65" i="4"/>
  <c r="E66" i="4"/>
  <c r="F29" i="16"/>
  <c r="C22" i="7"/>
  <c r="E22" i="7"/>
  <c r="F36" i="16"/>
  <c r="E51" i="7"/>
  <c r="F51" i="7" s="1"/>
  <c r="E292" i="7"/>
  <c r="E291" i="7"/>
  <c r="E293" i="7"/>
  <c r="E280" i="7"/>
  <c r="E379" i="7"/>
  <c r="E130" i="7"/>
  <c r="B13" i="4"/>
  <c r="E37" i="16"/>
  <c r="E29" i="16"/>
  <c r="E38" i="16"/>
  <c r="F38" i="16"/>
  <c r="E35" i="16"/>
  <c r="E39" i="16"/>
  <c r="F34" i="16"/>
  <c r="F30" i="16"/>
  <c r="F32" i="16"/>
  <c r="F28" i="16"/>
  <c r="F35" i="16"/>
  <c r="E28" i="16"/>
  <c r="D27" i="7" l="1"/>
  <c r="B72" i="11"/>
  <c r="C36" i="6"/>
  <c r="E295" i="7"/>
  <c r="E394" i="7"/>
  <c r="E143" i="7"/>
  <c r="E141" i="7"/>
  <c r="E38" i="7"/>
  <c r="F38" i="7" s="1"/>
  <c r="E19" i="7"/>
  <c r="E37" i="7"/>
  <c r="F37" i="7" s="1"/>
  <c r="E44" i="4"/>
  <c r="E36" i="7"/>
  <c r="F36" i="7" s="1"/>
  <c r="E45" i="4"/>
  <c r="E35" i="7"/>
  <c r="F35" i="7" s="1"/>
  <c r="E46" i="4"/>
  <c r="E34" i="7"/>
  <c r="F34" i="7" s="1"/>
  <c r="E47" i="4"/>
  <c r="E33" i="7"/>
  <c r="F33" i="7" s="1"/>
  <c r="E48" i="4"/>
  <c r="E43" i="4"/>
  <c r="G28" i="16"/>
  <c r="B16" i="11" l="1"/>
  <c r="B74" i="6"/>
  <c r="H28" i="16"/>
  <c r="I28" i="16" s="1"/>
  <c r="E142" i="7"/>
  <c r="E145" i="7" s="1"/>
  <c r="D6" i="16"/>
  <c r="B23" i="1" l="1"/>
  <c r="B22" i="1"/>
  <c r="B21" i="1"/>
  <c r="B19" i="1"/>
  <c r="B18" i="1"/>
  <c r="B17" i="1"/>
  <c r="D21" i="7" l="1"/>
  <c r="B21" i="7"/>
  <c r="C29" i="6"/>
  <c r="A70" i="4"/>
  <c r="A49" i="4"/>
  <c r="A42" i="4"/>
  <c r="A31" i="4"/>
  <c r="A30" i="4"/>
  <c r="A28" i="4"/>
  <c r="A13" i="4"/>
  <c r="A12" i="4"/>
  <c r="A10" i="4"/>
  <c r="B9" i="9"/>
  <c r="D9" i="10"/>
  <c r="E9" i="10" s="1"/>
  <c r="D15" i="10"/>
  <c r="E15" i="10" s="1"/>
  <c r="B15" i="9" s="1"/>
  <c r="D19" i="10"/>
  <c r="E19" i="10"/>
  <c r="B19" i="9" s="1"/>
  <c r="D16" i="10"/>
  <c r="D21" i="10"/>
  <c r="E21" i="10"/>
  <c r="B21" i="9" s="1"/>
  <c r="D3" i="10"/>
  <c r="D2" i="10"/>
  <c r="E2" i="10" s="1"/>
  <c r="D14" i="10"/>
  <c r="E14" i="10" s="1"/>
  <c r="B14" i="9" s="1"/>
  <c r="E16" i="10"/>
  <c r="B16" i="9" s="1"/>
  <c r="C19" i="6"/>
  <c r="B105" i="1"/>
  <c r="B104" i="1"/>
  <c r="B103" i="1"/>
  <c r="B116" i="1"/>
  <c r="B115" i="1"/>
  <c r="B114" i="1"/>
  <c r="C77" i="6"/>
  <c r="C68" i="6"/>
  <c r="C67" i="6"/>
  <c r="C66" i="6"/>
  <c r="C70" i="6"/>
  <c r="C64" i="6"/>
  <c r="C63" i="6"/>
  <c r="C62" i="6"/>
  <c r="C60" i="6"/>
  <c r="C59" i="6"/>
  <c r="C58" i="6"/>
  <c r="C54" i="6"/>
  <c r="C56" i="6"/>
  <c r="C55" i="6"/>
  <c r="C24" i="6"/>
  <c r="D68" i="6"/>
  <c r="D77" i="6" s="1"/>
  <c r="C76" i="6"/>
  <c r="C75" i="6"/>
  <c r="C74" i="6"/>
  <c r="C45" i="6"/>
  <c r="M39" i="6"/>
  <c r="M38" i="6"/>
  <c r="M37" i="6"/>
  <c r="M36" i="6"/>
  <c r="C31" i="6"/>
  <c r="C14" i="6"/>
  <c r="C9" i="6"/>
  <c r="E178" i="7"/>
  <c r="E177" i="7"/>
  <c r="E176" i="7"/>
  <c r="D20" i="7"/>
  <c r="B20" i="7"/>
  <c r="D18" i="7"/>
  <c r="B18" i="7"/>
  <c r="A63" i="4"/>
  <c r="A56" i="4"/>
  <c r="A72" i="4"/>
  <c r="E35" i="4"/>
  <c r="F35" i="4"/>
  <c r="A25" i="4"/>
  <c r="A24" i="4"/>
  <c r="A22" i="4"/>
  <c r="A19" i="4"/>
  <c r="A18" i="4"/>
  <c r="A16" i="4"/>
  <c r="A7" i="4"/>
  <c r="A6" i="4"/>
  <c r="A4" i="4"/>
  <c r="B18" i="4"/>
  <c r="B19" i="4" s="1"/>
  <c r="E50" i="4" s="1"/>
  <c r="B16" i="4"/>
  <c r="D39" i="15"/>
  <c r="D38" i="15"/>
  <c r="D37" i="15"/>
  <c r="D36" i="15"/>
  <c r="C39" i="15"/>
  <c r="C38" i="15"/>
  <c r="C37" i="15"/>
  <c r="C36" i="15"/>
  <c r="D35" i="15"/>
  <c r="D34" i="15"/>
  <c r="D33" i="15"/>
  <c r="D32" i="15"/>
  <c r="C35" i="15"/>
  <c r="C34" i="15"/>
  <c r="C33" i="15"/>
  <c r="C32" i="15"/>
  <c r="C31" i="15"/>
  <c r="D31" i="15"/>
  <c r="C30" i="15"/>
  <c r="D30" i="15"/>
  <c r="C29" i="15"/>
  <c r="D29" i="15"/>
  <c r="D28" i="15"/>
  <c r="C28" i="15"/>
  <c r="D39" i="2"/>
  <c r="D38" i="2"/>
  <c r="D37" i="2"/>
  <c r="D36" i="2"/>
  <c r="C39" i="2"/>
  <c r="C38" i="2"/>
  <c r="C37" i="2"/>
  <c r="C36" i="2"/>
  <c r="D35" i="2"/>
  <c r="D34" i="2"/>
  <c r="D33" i="2"/>
  <c r="D32" i="2"/>
  <c r="C35" i="2"/>
  <c r="C34" i="2"/>
  <c r="C33" i="2"/>
  <c r="C32" i="2"/>
  <c r="C31" i="2"/>
  <c r="D31" i="2"/>
  <c r="D30" i="2"/>
  <c r="C30" i="2"/>
  <c r="D29" i="2"/>
  <c r="C29" i="2"/>
  <c r="D28" i="2"/>
  <c r="C28" i="2"/>
  <c r="E39" i="3"/>
  <c r="E38" i="3"/>
  <c r="E37" i="3"/>
  <c r="E36" i="3"/>
  <c r="E35" i="3"/>
  <c r="E34" i="3"/>
  <c r="E33" i="3"/>
  <c r="E32" i="3"/>
  <c r="E31" i="3"/>
  <c r="E30" i="3"/>
  <c r="E29" i="3"/>
  <c r="E28" i="3"/>
  <c r="C37" i="3"/>
  <c r="D37" i="3" s="1"/>
  <c r="C38" i="3"/>
  <c r="D38" i="3" s="1"/>
  <c r="C39" i="3"/>
  <c r="D39" i="3" s="1"/>
  <c r="C36" i="3"/>
  <c r="D36" i="3" s="1"/>
  <c r="C33" i="3"/>
  <c r="D33" i="3" s="1"/>
  <c r="C34" i="3"/>
  <c r="D34" i="3" s="1"/>
  <c r="C35" i="3"/>
  <c r="D35" i="3" s="1"/>
  <c r="C32" i="3"/>
  <c r="D32" i="3" s="1"/>
  <c r="C31" i="3"/>
  <c r="D31" i="3" s="1"/>
  <c r="C30" i="3"/>
  <c r="D30" i="3" s="1"/>
  <c r="C29" i="3"/>
  <c r="D29" i="3" s="1"/>
  <c r="C28" i="3"/>
  <c r="D28" i="3" s="1"/>
  <c r="D17" i="15"/>
  <c r="D16" i="15"/>
  <c r="D15" i="15"/>
  <c r="D14" i="15"/>
  <c r="D13" i="15"/>
  <c r="D12" i="15"/>
  <c r="D11" i="15"/>
  <c r="D10" i="15"/>
  <c r="D9" i="15"/>
  <c r="D8" i="15"/>
  <c r="D7" i="15"/>
  <c r="D6" i="15"/>
  <c r="B152" i="1"/>
  <c r="B151" i="1"/>
  <c r="B150" i="1"/>
  <c r="B3" i="7"/>
  <c r="E480" i="7" l="1"/>
  <c r="E243" i="7"/>
  <c r="E180" i="7"/>
  <c r="F34" i="17"/>
  <c r="I34" i="17" s="1"/>
  <c r="F36" i="17"/>
  <c r="I36" i="17" s="1"/>
  <c r="F33" i="17"/>
  <c r="I33" i="17" s="1"/>
  <c r="F39" i="17"/>
  <c r="I39" i="17" s="1"/>
  <c r="F28" i="17"/>
  <c r="I28" i="17" s="1"/>
  <c r="F32" i="17"/>
  <c r="I32" i="17" s="1"/>
  <c r="F38" i="17"/>
  <c r="I38" i="17" s="1"/>
  <c r="F29" i="17"/>
  <c r="I29" i="17" s="1"/>
  <c r="F35" i="17"/>
  <c r="I35" i="17" s="1"/>
  <c r="F30" i="17"/>
  <c r="I30" i="17" s="1"/>
  <c r="F31" i="17"/>
  <c r="I31" i="17" s="1"/>
  <c r="F37" i="17"/>
  <c r="I37" i="17" s="1"/>
  <c r="D56" i="6"/>
  <c r="D74" i="6" s="1"/>
  <c r="E74" i="6" s="1"/>
  <c r="D64" i="6"/>
  <c r="D76" i="6" s="1"/>
  <c r="E76" i="6" s="1"/>
  <c r="D60" i="6"/>
  <c r="D75" i="6" s="1"/>
  <c r="E75" i="6" s="1"/>
  <c r="E39" i="7"/>
  <c r="F39" i="7" s="1"/>
  <c r="E40" i="7"/>
  <c r="F40" i="7" s="1"/>
  <c r="E41" i="7"/>
  <c r="F41" i="7" s="1"/>
  <c r="E43" i="7"/>
  <c r="F43" i="7" s="1"/>
  <c r="E44" i="7"/>
  <c r="F44" i="7" s="1"/>
  <c r="C20" i="7"/>
  <c r="E20" i="7"/>
  <c r="E42" i="7"/>
  <c r="F42" i="7" s="1"/>
  <c r="E242" i="7"/>
  <c r="E241" i="7"/>
  <c r="E54" i="4"/>
  <c r="E55" i="4"/>
  <c r="E53" i="4"/>
  <c r="E51" i="4"/>
  <c r="E52" i="4"/>
  <c r="E38" i="15"/>
  <c r="F29" i="2"/>
  <c r="F39" i="2"/>
  <c r="F31" i="15"/>
  <c r="E32" i="15"/>
  <c r="F31" i="2"/>
  <c r="E39" i="15"/>
  <c r="E29" i="15"/>
  <c r="F37" i="2"/>
  <c r="F30" i="15"/>
  <c r="F32" i="15"/>
  <c r="E38" i="2"/>
  <c r="F34" i="2"/>
  <c r="E35" i="2"/>
  <c r="E34" i="15"/>
  <c r="E37" i="15"/>
  <c r="F30" i="3"/>
  <c r="G30" i="3" s="1"/>
  <c r="E35" i="15"/>
  <c r="E28" i="15"/>
  <c r="E34" i="2"/>
  <c r="E33" i="15"/>
  <c r="F38" i="15"/>
  <c r="F30" i="2"/>
  <c r="F36" i="2"/>
  <c r="E30" i="15"/>
  <c r="F33" i="2"/>
  <c r="E31" i="15"/>
  <c r="F28" i="2"/>
  <c r="E28" i="2"/>
  <c r="E37" i="2"/>
  <c r="E36" i="15"/>
  <c r="E39" i="2"/>
  <c r="F37" i="15"/>
  <c r="E33" i="2"/>
  <c r="F28" i="15"/>
  <c r="F33" i="15"/>
  <c r="F32" i="2"/>
  <c r="F38" i="2"/>
  <c r="E36" i="2"/>
  <c r="E30" i="2"/>
  <c r="F29" i="15"/>
  <c r="F34" i="15"/>
  <c r="F36" i="15"/>
  <c r="E32" i="2"/>
  <c r="F35" i="2"/>
  <c r="F35" i="15"/>
  <c r="E31" i="2"/>
  <c r="F39" i="15"/>
  <c r="E29" i="2"/>
  <c r="F38" i="3"/>
  <c r="G38" i="3" s="1"/>
  <c r="F37" i="3"/>
  <c r="G37" i="3" s="1"/>
  <c r="F35" i="3"/>
  <c r="F34" i="3"/>
  <c r="G34" i="3" s="1"/>
  <c r="F33" i="3"/>
  <c r="F32" i="3"/>
  <c r="G32" i="3" s="1"/>
  <c r="F29" i="3"/>
  <c r="F39" i="3"/>
  <c r="G39" i="3" s="1"/>
  <c r="F36" i="3"/>
  <c r="G36" i="3" s="1"/>
  <c r="F31" i="3"/>
  <c r="F28" i="3"/>
  <c r="G28" i="3" s="1"/>
  <c r="H28" i="3" s="1"/>
  <c r="F45" i="6"/>
  <c r="E45" i="6"/>
  <c r="E245" i="7" l="1"/>
  <c r="E445" i="7"/>
  <c r="E446" i="7"/>
  <c r="E444" i="7"/>
  <c r="K35" i="17"/>
  <c r="K38" i="17"/>
  <c r="K30" i="17"/>
  <c r="K29" i="17"/>
  <c r="K34" i="17"/>
  <c r="G29" i="16"/>
  <c r="G30" i="16"/>
  <c r="G33" i="16"/>
  <c r="G35" i="16"/>
  <c r="G34" i="16"/>
  <c r="G36" i="16"/>
  <c r="G31" i="16"/>
  <c r="F41" i="16"/>
  <c r="G39" i="16"/>
  <c r="G38" i="16"/>
  <c r="F42" i="16"/>
  <c r="F43" i="16"/>
  <c r="E42" i="16"/>
  <c r="G32" i="16"/>
  <c r="G37" i="16"/>
  <c r="E43" i="16"/>
  <c r="E41" i="16"/>
  <c r="D70" i="6"/>
  <c r="G34" i="15"/>
  <c r="I34" i="15" s="1"/>
  <c r="G31" i="2"/>
  <c r="E192" i="7"/>
  <c r="G31" i="15"/>
  <c r="G30" i="15"/>
  <c r="I30" i="15" s="1"/>
  <c r="J30" i="15" s="1"/>
  <c r="E193" i="7"/>
  <c r="E191" i="7"/>
  <c r="G34" i="2"/>
  <c r="G38" i="15"/>
  <c r="I38" i="15" s="1"/>
  <c r="G37" i="2"/>
  <c r="G32" i="15"/>
  <c r="H32" i="15" s="1"/>
  <c r="G39" i="15"/>
  <c r="I39" i="15" s="1"/>
  <c r="G33" i="15"/>
  <c r="H30" i="3"/>
  <c r="E41" i="15"/>
  <c r="G38" i="2"/>
  <c r="G39" i="2"/>
  <c r="G37" i="15"/>
  <c r="F41" i="2"/>
  <c r="G36" i="2"/>
  <c r="G30" i="2"/>
  <c r="F41" i="15"/>
  <c r="G35" i="15"/>
  <c r="H37" i="3"/>
  <c r="H34" i="3"/>
  <c r="G32" i="2"/>
  <c r="G29" i="15"/>
  <c r="G36" i="15"/>
  <c r="E43" i="15"/>
  <c r="F43" i="15"/>
  <c r="F42" i="15"/>
  <c r="G28" i="15"/>
  <c r="E42" i="15"/>
  <c r="E43" i="2"/>
  <c r="F43" i="2"/>
  <c r="G35" i="2"/>
  <c r="F42" i="2"/>
  <c r="G33" i="2"/>
  <c r="G29" i="2"/>
  <c r="G28" i="2"/>
  <c r="E41" i="2"/>
  <c r="E42" i="2"/>
  <c r="H39" i="3"/>
  <c r="H32" i="3"/>
  <c r="G31" i="3"/>
  <c r="G35" i="3"/>
  <c r="I28" i="3"/>
  <c r="G29" i="3"/>
  <c r="H38" i="3"/>
  <c r="G33" i="3"/>
  <c r="H36" i="3"/>
  <c r="E3" i="10"/>
  <c r="B3" i="9" s="1"/>
  <c r="B14" i="1" s="1"/>
  <c r="B186" i="1" s="1"/>
  <c r="D22" i="10"/>
  <c r="E22" i="10" s="1"/>
  <c r="B22" i="9" s="1"/>
  <c r="D12" i="10"/>
  <c r="E12" i="10" s="1"/>
  <c r="B12" i="9" s="1"/>
  <c r="D6" i="10"/>
  <c r="E6" i="10" s="1"/>
  <c r="B6" i="9" s="1"/>
  <c r="B2" i="7"/>
  <c r="B2" i="9"/>
  <c r="B2" i="11"/>
  <c r="B2" i="6"/>
  <c r="B6" i="4"/>
  <c r="B5" i="4"/>
  <c r="B4" i="4"/>
  <c r="E15" i="3"/>
  <c r="E16" i="3"/>
  <c r="E17" i="3"/>
  <c r="E14" i="3"/>
  <c r="E11" i="3"/>
  <c r="E12" i="3"/>
  <c r="E13" i="3"/>
  <c r="E10" i="3"/>
  <c r="E7" i="3"/>
  <c r="E8" i="3"/>
  <c r="E9" i="3"/>
  <c r="E6" i="3"/>
  <c r="D6" i="2"/>
  <c r="D15" i="2"/>
  <c r="D16" i="2"/>
  <c r="D17" i="2"/>
  <c r="D14" i="2"/>
  <c r="D11" i="2"/>
  <c r="D12" i="2"/>
  <c r="D13" i="2"/>
  <c r="D10" i="2"/>
  <c r="D9" i="2"/>
  <c r="D8" i="2"/>
  <c r="D7" i="2"/>
  <c r="B24" i="4"/>
  <c r="C21" i="7" s="1"/>
  <c r="D4" i="10"/>
  <c r="E4" i="10" s="1"/>
  <c r="B4" i="9" s="1"/>
  <c r="D5" i="10"/>
  <c r="E5" i="10" s="1"/>
  <c r="B5" i="9" s="1"/>
  <c r="D7" i="10"/>
  <c r="E7" i="10" s="1"/>
  <c r="B7" i="9" s="1"/>
  <c r="D8" i="10"/>
  <c r="E8" i="10" s="1"/>
  <c r="B8" i="9" s="1"/>
  <c r="D10" i="10"/>
  <c r="E10" i="10" s="1"/>
  <c r="B10" i="9" s="1"/>
  <c r="D11" i="10"/>
  <c r="E11" i="10" s="1"/>
  <c r="B11" i="9" s="1"/>
  <c r="D13" i="10"/>
  <c r="E13" i="10" s="1"/>
  <c r="B13" i="9" s="1"/>
  <c r="D17" i="10"/>
  <c r="E17" i="10" s="1"/>
  <c r="B17" i="9" s="1"/>
  <c r="D18" i="10"/>
  <c r="E18" i="10" s="1"/>
  <c r="B18" i="9" s="1"/>
  <c r="D20" i="10"/>
  <c r="E20" i="10" s="1"/>
  <c r="B20" i="9" s="1"/>
  <c r="D23" i="10"/>
  <c r="E23" i="10" s="1"/>
  <c r="B23" i="9" s="1"/>
  <c r="K39" i="17" l="1"/>
  <c r="K33" i="17"/>
  <c r="J28" i="17"/>
  <c r="J32" i="17"/>
  <c r="K31" i="17"/>
  <c r="J36" i="17"/>
  <c r="K37" i="17"/>
  <c r="C15" i="17"/>
  <c r="C14" i="17"/>
  <c r="C16" i="17"/>
  <c r="C17" i="17"/>
  <c r="C11" i="17"/>
  <c r="C12" i="17"/>
  <c r="C13" i="17"/>
  <c r="C10" i="17"/>
  <c r="E496" i="7"/>
  <c r="E195" i="7"/>
  <c r="E495" i="7"/>
  <c r="E494" i="7"/>
  <c r="E448" i="7"/>
  <c r="C8" i="17"/>
  <c r="C9" i="17"/>
  <c r="C6" i="17"/>
  <c r="C7" i="17"/>
  <c r="I37" i="16"/>
  <c r="I43" i="17"/>
  <c r="I42" i="17"/>
  <c r="I41" i="17"/>
  <c r="I35" i="16"/>
  <c r="I39" i="16"/>
  <c r="H36" i="16"/>
  <c r="I33" i="16"/>
  <c r="I38" i="16"/>
  <c r="I30" i="16"/>
  <c r="H32" i="16"/>
  <c r="H42" i="16" s="1"/>
  <c r="I31" i="16"/>
  <c r="I34" i="16"/>
  <c r="I29" i="16"/>
  <c r="C6" i="16"/>
  <c r="C17" i="16"/>
  <c r="C16" i="2"/>
  <c r="C16" i="16"/>
  <c r="C9" i="16"/>
  <c r="C15" i="2"/>
  <c r="C15" i="16"/>
  <c r="C8" i="16"/>
  <c r="C14" i="2"/>
  <c r="C14" i="16"/>
  <c r="C13" i="2"/>
  <c r="C13" i="16"/>
  <c r="C12" i="2"/>
  <c r="C12" i="16"/>
  <c r="C11" i="2"/>
  <c r="C7" i="2"/>
  <c r="C6" i="2"/>
  <c r="C17" i="2"/>
  <c r="C7" i="16"/>
  <c r="C11" i="16"/>
  <c r="C10" i="2"/>
  <c r="C10" i="16"/>
  <c r="C9" i="2"/>
  <c r="C8" i="2"/>
  <c r="G42" i="16"/>
  <c r="G41" i="16"/>
  <c r="H41" i="16"/>
  <c r="G43" i="16"/>
  <c r="G75" i="6"/>
  <c r="I31" i="15"/>
  <c r="J31" i="15" s="1"/>
  <c r="I31" i="2"/>
  <c r="I34" i="2"/>
  <c r="I39" i="2"/>
  <c r="B7" i="4"/>
  <c r="C18" i="7"/>
  <c r="J30" i="3"/>
  <c r="J38" i="3"/>
  <c r="H29" i="3"/>
  <c r="I33" i="2"/>
  <c r="I30" i="2"/>
  <c r="J30" i="2" s="1"/>
  <c r="H35" i="3"/>
  <c r="H33" i="3"/>
  <c r="J34" i="3"/>
  <c r="I32" i="3"/>
  <c r="J37" i="3"/>
  <c r="I37" i="2"/>
  <c r="H31" i="3"/>
  <c r="B25" i="4"/>
  <c r="J39" i="3"/>
  <c r="I32" i="15"/>
  <c r="I33" i="15"/>
  <c r="I37" i="15"/>
  <c r="J37" i="15" s="1"/>
  <c r="J38" i="15"/>
  <c r="I38" i="2"/>
  <c r="H36" i="2"/>
  <c r="I35" i="15"/>
  <c r="J35" i="15" s="1"/>
  <c r="H32" i="2"/>
  <c r="J34" i="15"/>
  <c r="H36" i="15"/>
  <c r="H28" i="2"/>
  <c r="H28" i="15"/>
  <c r="C8" i="15"/>
  <c r="C9" i="15"/>
  <c r="C6" i="15"/>
  <c r="C16" i="15"/>
  <c r="C15" i="15"/>
  <c r="C17" i="15"/>
  <c r="C14" i="15"/>
  <c r="C11" i="15"/>
  <c r="C7" i="15"/>
  <c r="C12" i="15"/>
  <c r="C10" i="15"/>
  <c r="C13" i="15"/>
  <c r="G43" i="15"/>
  <c r="I29" i="15"/>
  <c r="J39" i="15"/>
  <c r="G41" i="15"/>
  <c r="H42" i="15"/>
  <c r="G42" i="15"/>
  <c r="G43" i="2"/>
  <c r="G42" i="2"/>
  <c r="I35" i="2"/>
  <c r="G41" i="2"/>
  <c r="I41" i="3"/>
  <c r="J28" i="3"/>
  <c r="I36" i="3"/>
  <c r="H43" i="3"/>
  <c r="C13" i="3"/>
  <c r="C12" i="3"/>
  <c r="C11" i="3"/>
  <c r="C14" i="3"/>
  <c r="C10" i="3"/>
  <c r="C16" i="3"/>
  <c r="C15" i="3"/>
  <c r="C17" i="3"/>
  <c r="B22" i="4"/>
  <c r="C9" i="3"/>
  <c r="C8" i="3"/>
  <c r="C7" i="3"/>
  <c r="C6" i="3"/>
  <c r="N38" i="6" l="1"/>
  <c r="N37" i="6"/>
  <c r="N36" i="6"/>
  <c r="D101" i="7"/>
  <c r="E101" i="7" s="1"/>
  <c r="D108" i="7"/>
  <c r="E108" i="7" s="1"/>
  <c r="D357" i="7"/>
  <c r="E357" i="7" s="1"/>
  <c r="D104" i="7"/>
  <c r="E104" i="7" s="1"/>
  <c r="D107" i="7"/>
  <c r="E107" i="7" s="1"/>
  <c r="D100" i="7"/>
  <c r="E100" i="7" s="1"/>
  <c r="D103" i="7"/>
  <c r="E103" i="7" s="1"/>
  <c r="D110" i="7"/>
  <c r="E110" i="7" s="1"/>
  <c r="D99" i="7"/>
  <c r="E99" i="7" s="1"/>
  <c r="D106" i="7"/>
  <c r="E106" i="7" s="1"/>
  <c r="D102" i="7"/>
  <c r="E102" i="7" s="1"/>
  <c r="D109" i="7"/>
  <c r="E109" i="7" s="1"/>
  <c r="D362" i="7"/>
  <c r="E362" i="7" s="1"/>
  <c r="D105" i="7"/>
  <c r="E105" i="7" s="1"/>
  <c r="D359" i="7"/>
  <c r="E359" i="7" s="1"/>
  <c r="D356" i="7"/>
  <c r="E356" i="7" s="1"/>
  <c r="D353" i="7"/>
  <c r="E353" i="7" s="1"/>
  <c r="D363" i="7"/>
  <c r="E363" i="7" s="1"/>
  <c r="D354" i="7"/>
  <c r="E354" i="7" s="1"/>
  <c r="D358" i="7"/>
  <c r="E358" i="7" s="1"/>
  <c r="D360" i="7"/>
  <c r="E360" i="7" s="1"/>
  <c r="D352" i="7"/>
  <c r="E352" i="7" s="1"/>
  <c r="D361" i="7"/>
  <c r="E361" i="7" s="1"/>
  <c r="D355" i="7"/>
  <c r="E355" i="7" s="1"/>
  <c r="J29" i="16"/>
  <c r="J41" i="17"/>
  <c r="J43" i="17"/>
  <c r="J42" i="17"/>
  <c r="J30" i="16"/>
  <c r="G74" i="6"/>
  <c r="K28" i="17"/>
  <c r="D11" i="17"/>
  <c r="D9" i="17"/>
  <c r="D14" i="17"/>
  <c r="D8" i="17"/>
  <c r="D17" i="17"/>
  <c r="D7" i="17"/>
  <c r="D10" i="17"/>
  <c r="D16" i="17"/>
  <c r="D13" i="17"/>
  <c r="D15" i="17"/>
  <c r="D12" i="17"/>
  <c r="D6" i="17"/>
  <c r="J33" i="16"/>
  <c r="E498" i="7"/>
  <c r="H43" i="16"/>
  <c r="J39" i="16"/>
  <c r="J35" i="16"/>
  <c r="J31" i="16"/>
  <c r="J34" i="16"/>
  <c r="I32" i="16"/>
  <c r="J38" i="16"/>
  <c r="K36" i="17"/>
  <c r="I45" i="17"/>
  <c r="K32" i="17"/>
  <c r="I36" i="16"/>
  <c r="E8" i="16"/>
  <c r="F8" i="16"/>
  <c r="E13" i="16"/>
  <c r="F13" i="16"/>
  <c r="E10" i="16"/>
  <c r="F10" i="16"/>
  <c r="E14" i="16"/>
  <c r="F14" i="16"/>
  <c r="E15" i="16"/>
  <c r="F15" i="16"/>
  <c r="E11" i="16"/>
  <c r="F11" i="16"/>
  <c r="E16" i="16"/>
  <c r="F16" i="16"/>
  <c r="E12" i="16"/>
  <c r="F12" i="16"/>
  <c r="E17" i="16"/>
  <c r="F17" i="16"/>
  <c r="E7" i="16"/>
  <c r="F7" i="16"/>
  <c r="E9" i="16"/>
  <c r="F9" i="16"/>
  <c r="E6" i="16"/>
  <c r="F6" i="16"/>
  <c r="E48" i="7"/>
  <c r="F48" i="7" s="1"/>
  <c r="E47" i="7"/>
  <c r="F47" i="7" s="1"/>
  <c r="E21" i="7"/>
  <c r="E46" i="7"/>
  <c r="F46" i="7" s="1"/>
  <c r="E45" i="7"/>
  <c r="F45" i="7" s="1"/>
  <c r="E50" i="7"/>
  <c r="F50" i="7" s="1"/>
  <c r="E49" i="7"/>
  <c r="F49" i="7" s="1"/>
  <c r="G76" i="6"/>
  <c r="C84" i="6" s="1"/>
  <c r="C87" i="6" s="1"/>
  <c r="I41" i="16"/>
  <c r="J37" i="16"/>
  <c r="G45" i="16"/>
  <c r="E62" i="4"/>
  <c r="E77" i="6"/>
  <c r="E37" i="4"/>
  <c r="D6" i="3"/>
  <c r="J29" i="3"/>
  <c r="H42" i="3"/>
  <c r="E38" i="4"/>
  <c r="J33" i="3"/>
  <c r="E39" i="4"/>
  <c r="E36" i="4"/>
  <c r="J34" i="2"/>
  <c r="E40" i="4"/>
  <c r="H41" i="3"/>
  <c r="J31" i="2"/>
  <c r="E58" i="4"/>
  <c r="E60" i="4"/>
  <c r="J32" i="3"/>
  <c r="J39" i="2"/>
  <c r="E59" i="4"/>
  <c r="J31" i="3"/>
  <c r="E61" i="4"/>
  <c r="H43" i="2"/>
  <c r="J33" i="2"/>
  <c r="J35" i="3"/>
  <c r="J37" i="2"/>
  <c r="J38" i="2"/>
  <c r="E57" i="4"/>
  <c r="E30" i="7"/>
  <c r="F30" i="7" s="1"/>
  <c r="E32" i="7"/>
  <c r="F32" i="7" s="1"/>
  <c r="E31" i="7"/>
  <c r="F31" i="7" s="1"/>
  <c r="E29" i="7"/>
  <c r="F29" i="7" s="1"/>
  <c r="E28" i="7"/>
  <c r="F28" i="7" s="1"/>
  <c r="E18" i="7"/>
  <c r="E27" i="7"/>
  <c r="F27" i="7" s="1"/>
  <c r="I43" i="3"/>
  <c r="J35" i="2"/>
  <c r="E41" i="4"/>
  <c r="E479" i="7"/>
  <c r="E481" i="7"/>
  <c r="J32" i="15"/>
  <c r="J33" i="15"/>
  <c r="I28" i="15"/>
  <c r="H41" i="15"/>
  <c r="I36" i="2"/>
  <c r="H42" i="2"/>
  <c r="J36" i="3"/>
  <c r="J29" i="15"/>
  <c r="I36" i="15"/>
  <c r="I32" i="2"/>
  <c r="H43" i="15"/>
  <c r="G45" i="15"/>
  <c r="H41" i="2"/>
  <c r="I29" i="2"/>
  <c r="I42" i="15"/>
  <c r="G45" i="2"/>
  <c r="I28" i="2"/>
  <c r="I42" i="3"/>
  <c r="F11" i="15"/>
  <c r="E11" i="15"/>
  <c r="F14" i="15"/>
  <c r="E14" i="15"/>
  <c r="E17" i="15"/>
  <c r="F17" i="15"/>
  <c r="E15" i="15"/>
  <c r="F15" i="15"/>
  <c r="F6" i="15"/>
  <c r="E6" i="15"/>
  <c r="E7" i="15"/>
  <c r="F7" i="15"/>
  <c r="F9" i="15"/>
  <c r="E9" i="15"/>
  <c r="F12" i="15"/>
  <c r="E12" i="15"/>
  <c r="F10" i="15"/>
  <c r="E10" i="15"/>
  <c r="E16" i="15"/>
  <c r="F16" i="15"/>
  <c r="F8" i="15"/>
  <c r="E8" i="15"/>
  <c r="E13" i="15"/>
  <c r="F13" i="15"/>
  <c r="E9" i="2"/>
  <c r="F9" i="2"/>
  <c r="E13" i="2"/>
  <c r="F13" i="2"/>
  <c r="E12" i="2"/>
  <c r="F12" i="2"/>
  <c r="E8" i="2"/>
  <c r="F8" i="2"/>
  <c r="E14" i="2"/>
  <c r="F14" i="2"/>
  <c r="E10" i="2"/>
  <c r="F10" i="2"/>
  <c r="E11" i="2"/>
  <c r="F11" i="2"/>
  <c r="E15" i="2"/>
  <c r="F15" i="2"/>
  <c r="E6" i="2"/>
  <c r="F6" i="2"/>
  <c r="E16" i="2"/>
  <c r="F16" i="2"/>
  <c r="E17" i="2"/>
  <c r="F17" i="2"/>
  <c r="E7" i="2"/>
  <c r="F7" i="2"/>
  <c r="D8" i="3"/>
  <c r="D14" i="3"/>
  <c r="D16" i="3"/>
  <c r="D15" i="3"/>
  <c r="D7" i="3"/>
  <c r="D10" i="3"/>
  <c r="D13" i="3"/>
  <c r="D17" i="3"/>
  <c r="D9" i="3"/>
  <c r="D11" i="3"/>
  <c r="D12" i="3"/>
  <c r="J45" i="17" l="1"/>
  <c r="K41" i="17"/>
  <c r="K43" i="17"/>
  <c r="K42" i="17"/>
  <c r="F6" i="17"/>
  <c r="G6" i="17" s="1"/>
  <c r="F7" i="17"/>
  <c r="G7" i="17" s="1"/>
  <c r="F12" i="17"/>
  <c r="G12" i="17" s="1"/>
  <c r="F17" i="17"/>
  <c r="G17" i="17" s="1"/>
  <c r="F15" i="17"/>
  <c r="G15" i="17" s="1"/>
  <c r="F8" i="17"/>
  <c r="G8" i="17" s="1"/>
  <c r="F13" i="17"/>
  <c r="G13" i="17" s="1"/>
  <c r="F14" i="17"/>
  <c r="G14" i="17" s="1"/>
  <c r="F16" i="17"/>
  <c r="G16" i="17" s="1"/>
  <c r="F9" i="17"/>
  <c r="G9" i="17" s="1"/>
  <c r="F10" i="17"/>
  <c r="G10" i="17" s="1"/>
  <c r="F11" i="17"/>
  <c r="G11" i="17" s="1"/>
  <c r="E483" i="7"/>
  <c r="E466" i="7"/>
  <c r="H45" i="16"/>
  <c r="J36" i="16"/>
  <c r="G14" i="16"/>
  <c r="J43" i="16"/>
  <c r="I43" i="16"/>
  <c r="C86" i="6"/>
  <c r="J28" i="16"/>
  <c r="C85" i="6"/>
  <c r="C88" i="6" s="1"/>
  <c r="C83" i="6"/>
  <c r="G7" i="16"/>
  <c r="G12" i="16"/>
  <c r="G11" i="16"/>
  <c r="F20" i="16"/>
  <c r="G17" i="16"/>
  <c r="G15" i="16"/>
  <c r="G13" i="16"/>
  <c r="I42" i="16"/>
  <c r="J32" i="16"/>
  <c r="E21" i="16"/>
  <c r="G6" i="16"/>
  <c r="E19" i="16"/>
  <c r="F19" i="16"/>
  <c r="F21" i="16"/>
  <c r="E20" i="16"/>
  <c r="G10" i="16"/>
  <c r="G9" i="16"/>
  <c r="G16" i="16"/>
  <c r="G8" i="16"/>
  <c r="G77" i="6"/>
  <c r="J41" i="3"/>
  <c r="H45" i="3"/>
  <c r="I45" i="3"/>
  <c r="J42" i="3"/>
  <c r="J43" i="3"/>
  <c r="J29" i="2"/>
  <c r="I41" i="15"/>
  <c r="H45" i="15"/>
  <c r="J28" i="15"/>
  <c r="J41" i="15" s="1"/>
  <c r="I43" i="2"/>
  <c r="J36" i="2"/>
  <c r="I42" i="2"/>
  <c r="J36" i="15"/>
  <c r="J43" i="15" s="1"/>
  <c r="G6" i="2"/>
  <c r="F15" i="3"/>
  <c r="G12" i="15"/>
  <c r="F8" i="3"/>
  <c r="F12" i="3"/>
  <c r="H45" i="2"/>
  <c r="F11" i="3"/>
  <c r="G8" i="15"/>
  <c r="F9" i="3"/>
  <c r="F6" i="3"/>
  <c r="F17" i="3"/>
  <c r="F13" i="3"/>
  <c r="J32" i="2"/>
  <c r="I43" i="15"/>
  <c r="F10" i="3"/>
  <c r="F16" i="3"/>
  <c r="F14" i="3"/>
  <c r="F7" i="3"/>
  <c r="I41" i="2"/>
  <c r="J42" i="15"/>
  <c r="J28" i="2"/>
  <c r="G9" i="15"/>
  <c r="G11" i="15"/>
  <c r="G6" i="15"/>
  <c r="E19" i="15"/>
  <c r="F19" i="15"/>
  <c r="G13" i="15"/>
  <c r="G16" i="15"/>
  <c r="G15" i="15"/>
  <c r="G17" i="15"/>
  <c r="G14" i="15"/>
  <c r="E21" i="15"/>
  <c r="F21" i="15"/>
  <c r="G7" i="15"/>
  <c r="E20" i="15"/>
  <c r="G10" i="15"/>
  <c r="F20" i="15"/>
  <c r="G7" i="2"/>
  <c r="E20" i="2"/>
  <c r="G10" i="2"/>
  <c r="F21" i="2"/>
  <c r="G17" i="2"/>
  <c r="E21" i="2"/>
  <c r="G14" i="2"/>
  <c r="E19" i="2"/>
  <c r="G12" i="2"/>
  <c r="G8" i="2"/>
  <c r="F19" i="2"/>
  <c r="G16" i="2"/>
  <c r="G15" i="2"/>
  <c r="G13" i="2"/>
  <c r="F20" i="2"/>
  <c r="G11" i="2"/>
  <c r="G9" i="2"/>
  <c r="I13" i="17" l="1"/>
  <c r="I6" i="17"/>
  <c r="I14" i="17"/>
  <c r="I7" i="17"/>
  <c r="I10" i="17"/>
  <c r="I15" i="17"/>
  <c r="I17" i="17"/>
  <c r="I9" i="17"/>
  <c r="I11" i="17"/>
  <c r="G6" i="3"/>
  <c r="I12" i="17"/>
  <c r="I8" i="17"/>
  <c r="I16" i="17"/>
  <c r="K45" i="17"/>
  <c r="J8" i="11" s="1"/>
  <c r="E565" i="7"/>
  <c r="H14" i="16"/>
  <c r="I14" i="16" s="1"/>
  <c r="E516" i="7"/>
  <c r="E515" i="7"/>
  <c r="E430" i="7"/>
  <c r="I9" i="16"/>
  <c r="J41" i="16"/>
  <c r="I16" i="16"/>
  <c r="I17" i="16"/>
  <c r="J42" i="16"/>
  <c r="I45" i="16"/>
  <c r="I8" i="16"/>
  <c r="I15" i="16"/>
  <c r="H10" i="16"/>
  <c r="I11" i="16"/>
  <c r="H6" i="16"/>
  <c r="H19" i="16" s="1"/>
  <c r="I12" i="16"/>
  <c r="I13" i="16"/>
  <c r="I7" i="16"/>
  <c r="G19" i="16"/>
  <c r="G21" i="16"/>
  <c r="G20" i="16"/>
  <c r="C89" i="6"/>
  <c r="C90" i="6" s="1"/>
  <c r="I45" i="15"/>
  <c r="J45" i="3"/>
  <c r="E517" i="7"/>
  <c r="E465" i="7"/>
  <c r="D54" i="4"/>
  <c r="F54" i="4" s="1"/>
  <c r="G8" i="3"/>
  <c r="G17" i="3"/>
  <c r="G12" i="3"/>
  <c r="I45" i="2"/>
  <c r="G10" i="3"/>
  <c r="G16" i="3"/>
  <c r="J43" i="2"/>
  <c r="G7" i="3"/>
  <c r="G15" i="3"/>
  <c r="I12" i="15"/>
  <c r="G14" i="3"/>
  <c r="G11" i="3"/>
  <c r="G9" i="3"/>
  <c r="I15" i="15"/>
  <c r="J45" i="15"/>
  <c r="G13" i="3"/>
  <c r="I7" i="15"/>
  <c r="H6" i="2"/>
  <c r="I8" i="15"/>
  <c r="J8" i="15" s="1"/>
  <c r="H6" i="15"/>
  <c r="I11" i="15"/>
  <c r="J42" i="2"/>
  <c r="I9" i="15"/>
  <c r="H14" i="15"/>
  <c r="J41" i="2"/>
  <c r="I16" i="15"/>
  <c r="I13" i="15"/>
  <c r="H10" i="15"/>
  <c r="I17" i="15"/>
  <c r="G21" i="15"/>
  <c r="G19" i="15"/>
  <c r="G20" i="15"/>
  <c r="G19" i="2"/>
  <c r="H14" i="2"/>
  <c r="G21" i="2"/>
  <c r="I13" i="2"/>
  <c r="H10" i="2"/>
  <c r="G20" i="2"/>
  <c r="I9" i="2"/>
  <c r="J45" i="16" l="1"/>
  <c r="D8" i="11" s="1"/>
  <c r="E567" i="7"/>
  <c r="D67" i="4"/>
  <c r="F67" i="4" s="1"/>
  <c r="H21" i="16"/>
  <c r="E566" i="7"/>
  <c r="J17" i="16"/>
  <c r="K9" i="17"/>
  <c r="K13" i="17"/>
  <c r="K7" i="17"/>
  <c r="K17" i="17"/>
  <c r="K15" i="17"/>
  <c r="J14" i="17"/>
  <c r="I21" i="17"/>
  <c r="J8" i="16"/>
  <c r="J10" i="17"/>
  <c r="I20" i="17"/>
  <c r="K16" i="17"/>
  <c r="K8" i="17"/>
  <c r="J6" i="17"/>
  <c r="I19" i="17"/>
  <c r="K12" i="17"/>
  <c r="K11" i="17"/>
  <c r="D48" i="4"/>
  <c r="F48" i="4" s="1"/>
  <c r="E417" i="7"/>
  <c r="E381" i="7"/>
  <c r="E519" i="7"/>
  <c r="E345" i="7"/>
  <c r="E545" i="7"/>
  <c r="E395" i="7"/>
  <c r="E344" i="7"/>
  <c r="E544" i="7"/>
  <c r="E346" i="7"/>
  <c r="E546" i="7"/>
  <c r="E396" i="7"/>
  <c r="J7" i="16"/>
  <c r="J13" i="16"/>
  <c r="J9" i="16"/>
  <c r="J12" i="16"/>
  <c r="I6" i="16"/>
  <c r="I10" i="16"/>
  <c r="H20" i="16"/>
  <c r="J15" i="16"/>
  <c r="J11" i="16"/>
  <c r="J16" i="16"/>
  <c r="I21" i="16"/>
  <c r="G23" i="16"/>
  <c r="H8" i="11"/>
  <c r="B89" i="6"/>
  <c r="H77" i="6"/>
  <c r="I77" i="6" s="1"/>
  <c r="J77" i="6" s="1"/>
  <c r="H8" i="3"/>
  <c r="D61" i="4"/>
  <c r="F61" i="4" s="1"/>
  <c r="E467" i="7"/>
  <c r="E469" i="7" s="1"/>
  <c r="E365" i="7"/>
  <c r="E367" i="7"/>
  <c r="E366" i="7"/>
  <c r="D62" i="4"/>
  <c r="F62" i="4" s="1"/>
  <c r="H15" i="3"/>
  <c r="H17" i="3"/>
  <c r="H16" i="3"/>
  <c r="H11" i="3"/>
  <c r="H6" i="3"/>
  <c r="H10" i="3"/>
  <c r="H12" i="3"/>
  <c r="H7" i="3"/>
  <c r="J9" i="15"/>
  <c r="H14" i="3"/>
  <c r="H9" i="3"/>
  <c r="J12" i="15"/>
  <c r="J11" i="15"/>
  <c r="H13" i="3"/>
  <c r="J45" i="2"/>
  <c r="B8" i="11" s="1"/>
  <c r="I14" i="15"/>
  <c r="I10" i="15"/>
  <c r="I6" i="15"/>
  <c r="F8" i="11"/>
  <c r="I10" i="2"/>
  <c r="J13" i="2"/>
  <c r="J17" i="15"/>
  <c r="J16" i="15"/>
  <c r="G23" i="15"/>
  <c r="H19" i="15"/>
  <c r="J13" i="15"/>
  <c r="H20" i="15"/>
  <c r="J7" i="15"/>
  <c r="J15" i="15"/>
  <c r="H21" i="15"/>
  <c r="I17" i="2"/>
  <c r="I14" i="2"/>
  <c r="H21" i="2"/>
  <c r="I7" i="2"/>
  <c r="I12" i="2"/>
  <c r="I15" i="2"/>
  <c r="I8" i="2"/>
  <c r="I16" i="2"/>
  <c r="J9" i="2"/>
  <c r="H20" i="2"/>
  <c r="G23" i="2"/>
  <c r="H19" i="2"/>
  <c r="I11" i="2"/>
  <c r="I6" i="2"/>
  <c r="E569" i="7" l="1"/>
  <c r="D68" i="4"/>
  <c r="F68" i="4" s="1"/>
  <c r="I19" i="16"/>
  <c r="J20" i="17"/>
  <c r="K10" i="17"/>
  <c r="I23" i="17"/>
  <c r="J19" i="17"/>
  <c r="K6" i="17"/>
  <c r="J21" i="17"/>
  <c r="K14" i="17"/>
  <c r="D46" i="4"/>
  <c r="E415" i="7"/>
  <c r="E416" i="7"/>
  <c r="E380" i="7"/>
  <c r="E548" i="7"/>
  <c r="E398" i="7"/>
  <c r="E431" i="7"/>
  <c r="E369" i="7"/>
  <c r="E348" i="7"/>
  <c r="H23" i="16"/>
  <c r="D60" i="4"/>
  <c r="F60" i="4" s="1"/>
  <c r="E9" i="7" s="1"/>
  <c r="I20" i="16"/>
  <c r="H17" i="11"/>
  <c r="J10" i="16"/>
  <c r="J14" i="16"/>
  <c r="J6" i="16"/>
  <c r="J8" i="3"/>
  <c r="D55" i="4"/>
  <c r="F55" i="4" s="1"/>
  <c r="J16" i="3"/>
  <c r="J7" i="3"/>
  <c r="I10" i="3"/>
  <c r="I20" i="3" s="1"/>
  <c r="I6" i="3"/>
  <c r="I19" i="3" s="1"/>
  <c r="I14" i="3"/>
  <c r="J14" i="3" s="1"/>
  <c r="H21" i="3"/>
  <c r="J9" i="3"/>
  <c r="J10" i="2"/>
  <c r="H19" i="3"/>
  <c r="J14" i="15"/>
  <c r="H20" i="3"/>
  <c r="J12" i="2"/>
  <c r="J7" i="2"/>
  <c r="J8" i="2"/>
  <c r="J16" i="2"/>
  <c r="J6" i="2"/>
  <c r="J14" i="2"/>
  <c r="I21" i="15"/>
  <c r="I20" i="15"/>
  <c r="H23" i="15"/>
  <c r="I19" i="15"/>
  <c r="J6" i="15"/>
  <c r="J10" i="15"/>
  <c r="J12" i="3"/>
  <c r="J15" i="3"/>
  <c r="I19" i="2"/>
  <c r="J17" i="2"/>
  <c r="I21" i="2"/>
  <c r="J17" i="3"/>
  <c r="I20" i="2"/>
  <c r="H23" i="2"/>
  <c r="J15" i="2"/>
  <c r="J11" i="3"/>
  <c r="J13" i="3"/>
  <c r="J11" i="2"/>
  <c r="D47" i="4" l="1"/>
  <c r="F47" i="4" s="1"/>
  <c r="D69" i="4"/>
  <c r="F69" i="4" s="1"/>
  <c r="F9" i="7" s="1"/>
  <c r="D53" i="4"/>
  <c r="F53" i="4" s="1"/>
  <c r="D9" i="7" s="1"/>
  <c r="J17" i="11"/>
  <c r="J19" i="11" s="1"/>
  <c r="K20" i="17"/>
  <c r="K37" i="6" s="1"/>
  <c r="I23" i="16"/>
  <c r="K21" i="17"/>
  <c r="K38" i="6" s="1"/>
  <c r="K19" i="17"/>
  <c r="K36" i="6" s="1"/>
  <c r="J23" i="17"/>
  <c r="E419" i="7"/>
  <c r="E331" i="7"/>
  <c r="E531" i="7"/>
  <c r="E329" i="7"/>
  <c r="E529" i="7"/>
  <c r="E330" i="7"/>
  <c r="E530" i="7"/>
  <c r="E429" i="7"/>
  <c r="E433" i="7" s="1"/>
  <c r="F17" i="11"/>
  <c r="F19" i="11" s="1"/>
  <c r="B77" i="6"/>
  <c r="F77" i="6" s="1"/>
  <c r="J19" i="16"/>
  <c r="E36" i="6" s="1"/>
  <c r="F46" i="4"/>
  <c r="C9" i="7" s="1"/>
  <c r="D17" i="11"/>
  <c r="D19" i="11" s="1"/>
  <c r="J21" i="16"/>
  <c r="E38" i="6" s="1"/>
  <c r="J20" i="16"/>
  <c r="E37" i="6" s="1"/>
  <c r="D40" i="4"/>
  <c r="F40" i="4" s="1"/>
  <c r="D41" i="4"/>
  <c r="F41" i="4" s="1"/>
  <c r="J10" i="3"/>
  <c r="D39" i="4"/>
  <c r="F39" i="4" s="1"/>
  <c r="B17" i="11"/>
  <c r="B19" i="11" s="1"/>
  <c r="J21" i="15"/>
  <c r="G38" i="6" s="1"/>
  <c r="H23" i="3"/>
  <c r="J6" i="3"/>
  <c r="I21" i="3"/>
  <c r="J19" i="2"/>
  <c r="B36" i="6" s="1"/>
  <c r="B39" i="6" s="1"/>
  <c r="I23" i="15"/>
  <c r="J19" i="15"/>
  <c r="G36" i="6" s="1"/>
  <c r="J20" i="15"/>
  <c r="G37" i="6" s="1"/>
  <c r="J20" i="2"/>
  <c r="B37" i="6" s="1"/>
  <c r="I23" i="2"/>
  <c r="J21" i="3"/>
  <c r="I38" i="6" s="1"/>
  <c r="J21" i="2"/>
  <c r="B38" i="6" s="1"/>
  <c r="J23" i="16" l="1"/>
  <c r="K23" i="17"/>
  <c r="K39" i="6"/>
  <c r="E264" i="7"/>
  <c r="E263" i="7"/>
  <c r="E333" i="7"/>
  <c r="E533" i="7"/>
  <c r="E383" i="7"/>
  <c r="E114" i="7"/>
  <c r="E112" i="7"/>
  <c r="E113" i="7"/>
  <c r="E214" i="7"/>
  <c r="E92" i="7"/>
  <c r="E91" i="7"/>
  <c r="J20" i="3"/>
  <c r="I37" i="6" s="1"/>
  <c r="B9" i="7"/>
  <c r="I23" i="3"/>
  <c r="E213" i="7"/>
  <c r="E212" i="7"/>
  <c r="D52" i="4"/>
  <c r="F52" i="4" s="1"/>
  <c r="J19" i="3"/>
  <c r="I36" i="6" s="1"/>
  <c r="J23" i="15"/>
  <c r="J23" i="2"/>
  <c r="B7" i="11" l="1"/>
  <c r="B10" i="11" s="1"/>
  <c r="H74" i="6"/>
  <c r="J74" i="6" s="1"/>
  <c r="D12" i="6"/>
  <c r="H75" i="6"/>
  <c r="F7" i="11"/>
  <c r="F10" i="11" s="1"/>
  <c r="D27" i="6"/>
  <c r="J7" i="11"/>
  <c r="J10" i="11" s="1"/>
  <c r="D17" i="6"/>
  <c r="D7" i="11"/>
  <c r="D10" i="11" s="1"/>
  <c r="D7" i="6"/>
  <c r="E163" i="7"/>
  <c r="E164" i="7"/>
  <c r="E93" i="7"/>
  <c r="E95" i="7" s="1"/>
  <c r="E314" i="7"/>
  <c r="E312" i="7"/>
  <c r="E313" i="7"/>
  <c r="E162" i="7"/>
  <c r="E116" i="7"/>
  <c r="E39" i="6"/>
  <c r="H39" i="6"/>
  <c r="I75" i="6"/>
  <c r="J75" i="6" s="1"/>
  <c r="E216" i="7"/>
  <c r="J23" i="3"/>
  <c r="D51" i="4"/>
  <c r="F51" i="4" s="1"/>
  <c r="E78" i="7"/>
  <c r="G39" i="6"/>
  <c r="E77" i="7"/>
  <c r="I39" i="6"/>
  <c r="D22" i="6" l="1"/>
  <c r="B83" i="6"/>
  <c r="H7" i="11"/>
  <c r="H10" i="11" s="1"/>
  <c r="H76" i="6"/>
  <c r="B86" i="6"/>
  <c r="B85" i="6"/>
  <c r="B84" i="6"/>
  <c r="B87" i="6" s="1"/>
  <c r="D45" i="4"/>
  <c r="F45" i="4" s="1"/>
  <c r="E166" i="7"/>
  <c r="I74" i="6"/>
  <c r="D44" i="4"/>
  <c r="F44" i="4" s="1"/>
  <c r="D65" i="4"/>
  <c r="F65" i="4" s="1"/>
  <c r="E316" i="7"/>
  <c r="D66" i="4"/>
  <c r="F66" i="4" s="1"/>
  <c r="E262" i="7"/>
  <c r="E266" i="7" s="1"/>
  <c r="D18" i="6"/>
  <c r="F59" i="7"/>
  <c r="D43" i="4"/>
  <c r="F43" i="4" s="1"/>
  <c r="C8" i="7" s="1"/>
  <c r="C11" i="7" s="1"/>
  <c r="D50" i="4"/>
  <c r="F50" i="4" s="1"/>
  <c r="D8" i="7" s="1"/>
  <c r="D11" i="7" s="1"/>
  <c r="F60" i="7"/>
  <c r="D13" i="6"/>
  <c r="D37" i="4"/>
  <c r="F37" i="4" s="1"/>
  <c r="D38" i="4"/>
  <c r="F38" i="4" s="1"/>
  <c r="B88" i="6"/>
  <c r="E226" i="7"/>
  <c r="E228" i="7"/>
  <c r="C39" i="6"/>
  <c r="E227" i="7"/>
  <c r="D58" i="4"/>
  <c r="F58" i="4" s="1"/>
  <c r="D59" i="4"/>
  <c r="F59" i="4" s="1"/>
  <c r="D36" i="4"/>
  <c r="F36" i="4" s="1"/>
  <c r="B8" i="7" s="1"/>
  <c r="B11" i="7" s="1"/>
  <c r="F74" i="6" l="1"/>
  <c r="D8" i="6"/>
  <c r="D23" i="6"/>
  <c r="D28" i="6"/>
  <c r="L39" i="6"/>
  <c r="D64" i="4"/>
  <c r="F64" i="4" s="1"/>
  <c r="F8" i="7" s="1"/>
  <c r="F11" i="7" s="1"/>
  <c r="F62" i="7"/>
  <c r="F61" i="7"/>
  <c r="D57" i="4"/>
  <c r="F57" i="4" s="1"/>
  <c r="E76" i="7"/>
  <c r="E80" i="7" s="1"/>
  <c r="E230" i="7"/>
  <c r="F56" i="4"/>
  <c r="D14" i="6" s="1"/>
  <c r="F39" i="6"/>
  <c r="F49" i="4"/>
  <c r="D19" i="6" s="1"/>
  <c r="F75" i="6"/>
  <c r="F58" i="7"/>
  <c r="B90" i="6"/>
  <c r="F76" i="6"/>
  <c r="I76" i="6"/>
  <c r="J76" i="6" s="1"/>
  <c r="J39" i="6"/>
  <c r="F42" i="4"/>
  <c r="D9" i="6" s="1"/>
  <c r="F63" i="4" l="1"/>
  <c r="D24" i="6" s="1"/>
  <c r="E8" i="7"/>
  <c r="E11" i="7" s="1"/>
  <c r="C13" i="7" s="1"/>
  <c r="N39" i="6"/>
  <c r="F70" i="4"/>
  <c r="D29" i="6" s="1"/>
  <c r="F64" i="7"/>
  <c r="F72" i="4" l="1"/>
  <c r="D31" i="6" l="1"/>
  <c r="D183" i="1"/>
  <c r="B183" i="1"/>
  <c r="F46" i="6"/>
  <c r="C46" i="6"/>
  <c r="E46" i="6" l="1"/>
  <c r="C183" i="1"/>
  <c r="E47" i="6" s="1"/>
  <c r="F47" i="6"/>
  <c r="C4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Kristina Grabbe</author>
  </authors>
  <commentList>
    <comment ref="A66" authorId="0" shapeId="0" xr:uid="{DBB57E66-A3C0-4D26-B3E8-0033ED758288}">
      <text>
        <r>
          <rPr>
            <b/>
            <sz val="9"/>
            <color indexed="81"/>
            <rFont val="Tahoma"/>
            <family val="2"/>
          </rPr>
          <t>Kristina Grabbe :</t>
        </r>
        <r>
          <rPr>
            <sz val="9"/>
            <color indexed="81"/>
            <rFont val="Tahoma"/>
            <family val="2"/>
          </rPr>
          <t xml:space="preserve">
Je n'ai rien modifié en dessous de cette ligne.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Kristina Grabbe</author>
  </authors>
  <commentList>
    <comment ref="G16" authorId="0" shapeId="0" xr:uid="{6E2CDA25-7DF4-45B3-9234-A586B4A248D0}">
      <text>
        <r>
          <rPr>
            <b/>
            <sz val="9"/>
            <color indexed="81"/>
            <rFont val="Tahoma"/>
            <family val="2"/>
          </rPr>
          <t>Kristina Grabbe:</t>
        </r>
        <r>
          <rPr>
            <sz val="9"/>
            <color indexed="81"/>
            <rFont val="Tahoma"/>
            <family val="2"/>
          </rPr>
          <t xml:space="preserve">
https://journals.sagepub.com/doi/10.1177/09564624211035922</t>
        </r>
      </text>
    </comment>
  </commentList>
</comments>
</file>

<file path=xl/sharedStrings.xml><?xml version="1.0" encoding="utf-8"?>
<sst xmlns="http://schemas.openxmlformats.org/spreadsheetml/2006/main" count="1622" uniqueCount="610">
  <si>
    <t>Country_Name</t>
  </si>
  <si>
    <t>Syphilis_Prevalence</t>
  </si>
  <si>
    <t>Tanzania</t>
  </si>
  <si>
    <t>Gambia</t>
  </si>
  <si>
    <t>Kenya</t>
  </si>
  <si>
    <t>Madagascar</t>
  </si>
  <si>
    <t>Congo</t>
  </si>
  <si>
    <t>Angola</t>
  </si>
  <si>
    <t>Chad</t>
  </si>
  <si>
    <t>DRC</t>
  </si>
  <si>
    <t>Guinea</t>
  </si>
  <si>
    <t>Senegal</t>
  </si>
  <si>
    <t>Sierra Leone</t>
  </si>
  <si>
    <t>Zimbabwe</t>
  </si>
  <si>
    <t>Population</t>
  </si>
  <si>
    <t>Crude_Birth_Rate</t>
  </si>
  <si>
    <t>Landed Cost Calculation Method</t>
  </si>
  <si>
    <t>Distribution (%)</t>
  </si>
  <si>
    <t>DUAL TEST QUANTIFICATION CALCULATIONS</t>
  </si>
  <si>
    <t>Quarter</t>
  </si>
  <si>
    <t>Year</t>
  </si>
  <si>
    <t>Screening Coverage Target (%)</t>
  </si>
  <si>
    <t>Buffer Stock Qty</t>
  </si>
  <si>
    <t>Wastage Qty</t>
  </si>
  <si>
    <t>Total Order Quantity</t>
  </si>
  <si>
    <t>Q1</t>
  </si>
  <si>
    <t>Q2</t>
  </si>
  <si>
    <t>Q3</t>
  </si>
  <si>
    <t>Q4</t>
  </si>
  <si>
    <t>Year 1 Total</t>
  </si>
  <si>
    <t>Year 2 Total</t>
  </si>
  <si>
    <t>Year 3 Total</t>
  </si>
  <si>
    <t>3-YEAR TOTAL</t>
  </si>
  <si>
    <t>BENZATHINE PENICILLIN QUANTIFICATION CALCULATIONS</t>
  </si>
  <si>
    <t>Expected Positive Results</t>
  </si>
  <si>
    <t>Treatment Coverage Target (%)</t>
  </si>
  <si>
    <t>BUDGET CALCULATIONS</t>
  </si>
  <si>
    <t>DUAL TEST LANDED COST</t>
  </si>
  <si>
    <t>BPG LANDED COST</t>
  </si>
  <si>
    <t>TOTAL BUDGET BY COMMODITY &amp; YEAR</t>
  </si>
  <si>
    <t>Commodity</t>
  </si>
  <si>
    <t>Dual Tests</t>
  </si>
  <si>
    <t>BPG</t>
  </si>
  <si>
    <t>Cameroon</t>
  </si>
  <si>
    <t>Zambia</t>
  </si>
  <si>
    <t>Liberia</t>
  </si>
  <si>
    <t>Cote d'Ivoire</t>
  </si>
  <si>
    <t>Partner Tests</t>
  </si>
  <si>
    <t>Total Tests Needed</t>
  </si>
  <si>
    <t>Partner Doses</t>
  </si>
  <si>
    <t>Total Doses Needed</t>
  </si>
  <si>
    <t>ANC</t>
  </si>
  <si>
    <t>Quantification</t>
  </si>
  <si>
    <t>Cause</t>
  </si>
  <si>
    <t>Solution</t>
  </si>
  <si>
    <t>Other Populations</t>
  </si>
  <si>
    <t>Period</t>
  </si>
  <si>
    <t>Subtotal (Units)</t>
  </si>
  <si>
    <t>Buffer Stock (Units)</t>
  </si>
  <si>
    <t>Wastage (Units)</t>
  </si>
  <si>
    <t>Total Units</t>
  </si>
  <si>
    <t>Pack Size</t>
  </si>
  <si>
    <t>Total Packs</t>
  </si>
  <si>
    <t>TRIPLE TEST QUANTIFICATION CALCULATIONS</t>
  </si>
  <si>
    <t>Other Population Doses</t>
  </si>
  <si>
    <t>Other Pop. Tests</t>
  </si>
  <si>
    <t>Y1 Dual Test Packs</t>
  </si>
  <si>
    <t>Y2 Dual Test Packs</t>
  </si>
  <si>
    <t>Y3 Dual Test Packs</t>
  </si>
  <si>
    <t>3-Year Dual Test Packs</t>
  </si>
  <si>
    <t>Y1 BPG Packs</t>
  </si>
  <si>
    <t>Y2 BPG Packs</t>
  </si>
  <si>
    <t>Y3 BPG Packs</t>
  </si>
  <si>
    <t>3-Year BPG Packs</t>
  </si>
  <si>
    <t>Y1 Triple Test Packs</t>
  </si>
  <si>
    <t>Y2 Triple Test Packs</t>
  </si>
  <si>
    <t>Y3 Triple Test Packs</t>
  </si>
  <si>
    <t>3-Year Triple Test Packs</t>
  </si>
  <si>
    <t>TRIPLE TEST LANDED COST</t>
  </si>
  <si>
    <t>Packs</t>
  </si>
  <si>
    <t>Triple Tests</t>
  </si>
  <si>
    <t>DALY</t>
  </si>
  <si>
    <t>YLL</t>
  </si>
  <si>
    <t>YLD</t>
  </si>
  <si>
    <t>GC8</t>
  </si>
  <si>
    <t>HPMT</t>
  </si>
  <si>
    <t>USG</t>
  </si>
  <si>
    <t>HBsAg TEST QUANTIFICATION CALCULATIONS</t>
  </si>
  <si>
    <t>Malawi</t>
  </si>
  <si>
    <t>Nigeria</t>
  </si>
  <si>
    <t>Uganda</t>
  </si>
  <si>
    <t>South Africa</t>
  </si>
  <si>
    <t>Mozambique</t>
  </si>
  <si>
    <t>Ghana</t>
  </si>
  <si>
    <t>HBV_ Prevalence</t>
  </si>
  <si>
    <t>TDF</t>
  </si>
  <si>
    <t>TDF QUANTIFICATION CALCULATIONS</t>
  </si>
  <si>
    <t>HBsAg TEST LANDED COST</t>
  </si>
  <si>
    <t>TDF LANDED COST</t>
  </si>
  <si>
    <t>HBsAg Tests</t>
  </si>
  <si>
    <t>Y1 HBsAg Test Packs</t>
  </si>
  <si>
    <t>Y2 HBsAg Test Packs</t>
  </si>
  <si>
    <t>Y3 HBsAg Test Packs</t>
  </si>
  <si>
    <t>3-Year HBsAg Test Packs</t>
  </si>
  <si>
    <t>Y1 TDF Packs</t>
  </si>
  <si>
    <t>Y2 TDF Packs</t>
  </si>
  <si>
    <t>Y3 TDF Packs</t>
  </si>
  <si>
    <t>3-Year TDF Packs</t>
  </si>
  <si>
    <t xml:space="preserve">TDF PROPHYLAXIS </t>
  </si>
  <si>
    <t>Pregnant_Women</t>
  </si>
  <si>
    <t>PW Tests</t>
  </si>
  <si>
    <t>Pregnant Women</t>
  </si>
  <si>
    <t>PW Doses</t>
  </si>
  <si>
    <t>PREGNANT WOMEN</t>
  </si>
  <si>
    <t>OTHER POPULATIONS</t>
  </si>
  <si>
    <t>Syphilis_Baseline_Screening_Coverage</t>
  </si>
  <si>
    <t>Syphilis_Baseline_Treatment_Coverage</t>
  </si>
  <si>
    <t>HBV_Baseline_ Screening _Coverage</t>
  </si>
  <si>
    <t>HBV_Baseline_Prophylaxis_Coverage</t>
  </si>
  <si>
    <t>Total Order Quantity (Units)</t>
  </si>
  <si>
    <t>Other Population (#)</t>
  </si>
  <si>
    <t>PW Bottles</t>
  </si>
  <si>
    <t>Other Population Bottles</t>
  </si>
  <si>
    <t>Subtotal</t>
  </si>
  <si>
    <t>Partner Bottles</t>
  </si>
  <si>
    <t>https://www.who.int/publications/i/item/9789240122383</t>
  </si>
  <si>
    <t>https://pubmed.ncbi.nlm.nih.gov/29599078/</t>
  </si>
  <si>
    <t>Months of Supply</t>
  </si>
  <si>
    <t># Pregnant Women (PW) (trimestriel)</t>
  </si>
  <si>
    <t>Other Population (trimestriel)</t>
  </si>
  <si>
    <t># Pregnant Women Screened (PW) (trimestriel)</t>
  </si>
  <si>
    <t>Other Populations Screened (trimestriel)</t>
  </si>
  <si>
    <t>Pregnant Women (PW) Screened (trimestriel)</t>
  </si>
  <si>
    <t>Annuel_Births</t>
  </si>
  <si>
    <t>Guide de l'utilisateur : Calculateur intégré de quantification et de budget</t>
  </si>
  <si>
    <t>PRÉSENTATION DE L'OUTIL</t>
  </si>
  <si>
    <t>L'outil de quantification et de calcul budgétaire aide les équipes nationales et les consultants du GC8 à établir les quantités à acheter et les estimations budgétaires pour les tests de diagnostic rapide (TDR) doubles VIH/syphilis, les tests triples VIH/syphilis/hépatite B (le cas échéant), les tests simples de dépistage de l'antigène de surface de l'hépatite B (AgHBs), la prophylaxie à la pénicilline G benzathine (BPG) et la prophylaxie au fumarate de ténofovir disoproxil (TDF)* pour les femmes enceintes HBsAg positives, en vue de leur inclusion dans les demandes de financement du Fonds mondial GC8 (2027-2029).
L'outil couvre deux groupes de population : les femmes enceintes et les autres populations (c'est-à-dire les personnes vivant avec le VIH, les consommateurs de drogues injectables, les travailleuses du sexe, etc., le cas échéant). Il produit une quantification sur trois ans, un budget des coûts au débarquement, une analyse des scénarios de financement et une estimation de l'impact sur la base des données cliniques publiées.</t>
  </si>
  <si>
    <t>*Remarque : cet outil considère le fumarate de disoproxil ténofovir (TDF) comme le traitement de choix pour la prophylaxie contre le VHB. D'autres traitements existent et les équipes nationales doivent ajuster les données saisies afin de refléter les directives thérapeutiques nationales lorsqu'elles diffèrent.</t>
  </si>
  <si>
    <t>GUIDE DES COULEURS DES CHAMPS DE SAISIE</t>
  </si>
  <si>
    <t>Couleur</t>
  </si>
  <si>
    <t>Signification</t>
  </si>
  <si>
    <t>Jaune</t>
  </si>
  <si>
    <t>Données obligatoires. Saisissez vos données ici. Certains champs sont remplis automatiquement à partir de la base de données des pays, mais peuvent être modifiés. L'outil ne fonctionnera pas si ces champs sont vides.</t>
  </si>
  <si>
    <t>Blanc</t>
  </si>
  <si>
    <t>Données facultatives. Certains champs sont remplis automatiquement à partir de la base de données des pays, mais peuvent être modifiés. L'outil peut toujours fonctionner si ces champs sont vides.</t>
  </si>
  <si>
    <t>APERÇU DE L'ONGLET</t>
  </si>
  <si>
    <t>Onglet</t>
  </si>
  <si>
    <t>Objectif</t>
  </si>
  <si>
    <t>Configuration + Données d'entrée</t>
  </si>
  <si>
    <t>Saisie de toutes les données. Remplissez d'abord cet onglet.</t>
  </si>
  <si>
    <t>Résumé</t>
  </si>
  <si>
    <t>Chiffres clés, ventilation par année, scénarios de financement national, analyse des scénarios de financement et impact estimé du programme.</t>
  </si>
  <si>
    <t>Quantités d'approvisionnement détaillées par période pour tous les produits et toutes les populations. Utilisez cet onglet pour vérifier les calculs et extraire les quantités commandées pour le HPMT.</t>
  </si>
  <si>
    <t>Répartition du budget</t>
  </si>
  <si>
    <t>Référence du coût au débarquement, budget détaillé par produit et par année, et calendrier budgétaire de la période d'approvisionnement.</t>
  </si>
  <si>
    <t>Base de données par pays</t>
  </si>
  <si>
    <t>Source de remplissage automatique pour les données au niveau national. Ne pas modifier.</t>
  </si>
  <si>
    <t>Onglets de calcul</t>
  </si>
  <si>
    <t>Feuilles de calcul en arrière-plan. Ne pas modifier.</t>
  </si>
  <si>
    <t>INSTRUCTIONS ÉTAPE PAR ÉTAPE</t>
  </si>
  <si>
    <t>Étape 1</t>
  </si>
  <si>
    <t>Ouvrez l'onglet « Configuration et données d'entrée ». C'est le seul onglet qui nécessite la saisie de données.</t>
  </si>
  <si>
    <t>Étape 2</t>
  </si>
  <si>
    <t>Sélectionnez votre pays dans le menu déroulant de la section 1. Si votre pays figure dans la base de données, les chiffres relatifs à la prévalence de la syphilis, à la prévalence du VHB, au nombre de femmes enceintes et à la couverture de base s'afficheront automatiquement. Si votre pays ne figure pas dans la liste, sélectionnez « Autre » et saisissez manuellement le nom de votre pays ainsi que toutes les données.</t>
  </si>
  <si>
    <t>Étape 3</t>
  </si>
  <si>
    <t>Remplissez les sections 1 à 6 dans l'ordre. Les cellules jaunes sont des champs obligatoires. Les cellules blanches sont facultatives. Les champs remplis automatiquement à partir de la base de données nationale peuvent être remplacés par des données plus récentes issues d'enquêtes nationales ou de programmes. Vérifiez toujours les chiffres remplis automatiquement par rapport à la source la plus récente disponible avant de soumettre votre proposition. Des sous-sections « Autres populations » apparaissent dans chaque section. Remplissez-les si votre proposition inclut des populations autres que les femmes enceintes. Laissez-les vides si votre proposition ne concerne que les femmes enceintes.</t>
  </si>
  <si>
    <t>Étape 4</t>
  </si>
  <si>
    <t>Consultez la section 4 (Paramètres d'approvisionnement) pour chaque produit. Saisissez les coûts unitaires, les tailles des conditionnements, le nombre de mois de stock de sécurité, les taux de gaspillage et la fréquence d'approvisionnement. Si votre proposition inclut des tests triples, définissez la part des tests doubles en dessous de 100 % pour chaque année afin de répartir les femmes entre les cohortes de tests doubles et triples. Si vous n'utilisez pas de tests triples, définissez la part des tests doubles à 100 % et laissez la section relative aux tests triples vide.</t>
  </si>
  <si>
    <t>Étape 5</t>
  </si>
  <si>
    <t>Remplissez la section 5 (Composantes du coût au débarquement). Sélectionnez soit la méthode simple, qui applique un multiplicateur unique au coût unitaire, soit la méthode détaillée, qui accepte des pourcentages par poste pour le fret, l'assurance, l'entreposage, la distribution, l'assurance qualité et les droits de douane. La section 6 (Financement national) est facultative. Ne la remplissez que si vous modélisez une contribution partielle du gouvernement au programme. Les paramètres d'impact se trouvent dans l'onglet « Résumé » et utilisent les valeurs par défaut publiées par Blencowe et al. 2011 et GBD 2023. Ne les ajustez que si des données spécifiques au pays sont disponibles.</t>
  </si>
  <si>
    <t xml:space="preserve">Étape 6 </t>
  </si>
  <si>
    <t>Vérifiez l'état de validation des données saisies au bas de la section « Configuration + Données saisies ». Toutes les vérifications doivent afficher une coche verte avant de passer à l'examen des résultats.</t>
  </si>
  <si>
    <t>Étape 7</t>
  </si>
  <si>
    <t>Vérifiez l'onglet « Résumé ». Assurez-vous que les chiffres clés, les quantités annuelles et les totaux budgétaires correspondent au contexte du pays. Saisissez les financements disponibles par produit et par source dans le bloc « Données de financement » pour générer l'analyse de l'écart de couverture et de l'impact.</t>
  </si>
  <si>
    <t>INTERPRÉTATION DU SCÉNARIO DE FINANCEMENT ET DE L'ANALYSE D'IMPACT</t>
  </si>
  <si>
    <r>
      <rPr>
        <b/>
        <sz val="11"/>
        <color theme="1"/>
        <rFont val="Aptos Narrow"/>
        <family val="2"/>
        <scheme val="minor"/>
      </rPr>
      <t>Analyse de la couverture et des lacunes</t>
    </r>
    <r>
      <rPr>
        <sz val="11"/>
        <color theme="1"/>
        <rFont val="Aptos Narrow"/>
        <family val="2"/>
        <scheme val="minor"/>
      </rPr>
      <t xml:space="preserve">
Pour chaque produit, l'outil calcule :
- Paquets nécessaires : le nombre total de paquets requis pour couvrir l'ensemble des besoins estimés de la population sur trois ans.
- Paquets abordables : le nombre de paquets que le financement disponible permet d'acheter.
- Écart de produits : la différence en nombre de paquets entre ce qui est nécessaire et ce qui est abordable.
- Femmes/personnes couvertes : le nombre de femmes enceintes ou de personnes issues d’autres populations pouvant être atteintes avec les fonds disponibles. Pour le BPG, cela correspond aux personnes séropositives pour la syphilis pouvant être traitées.
- Besoin de couverture totale : le nombre total de personnes devant être atteintes pour une couverture complète du programme.
- Écart de couverture : nombre et pourcentage de personnes qui ne seraient pas atteintes avec les fonds disponibles.
Le pourcentage d'écart de couverture est représenté par une échelle de couleurs. Le vert indique une couverture totale ou quasi totale. Le rouge indique un écart de financement important nécessitant des ressources supplémentaires ou une priorisation.</t>
    </r>
  </si>
  <si>
    <r>
      <rPr>
        <b/>
        <sz val="11"/>
        <color theme="1"/>
        <rFont val="Aptos Narrow"/>
        <family val="2"/>
        <scheme val="minor"/>
      </rPr>
      <t>Analyse d'impact estimée</t>
    </r>
    <r>
      <rPr>
        <sz val="11"/>
        <color theme="1"/>
        <rFont val="Aptos Narrow"/>
        <family val="2"/>
        <scheme val="minor"/>
      </rPr>
      <t xml:space="preserve">
Le tableau d'impact présente deux scénarios côte à côte. La colonne B indique les résultats indésirables estimés évités si l'ensemble des besoins quantifiés de la population est couvert. La colonne C indique les résultats indésirables estimés évités sur la base du financement disponible uniquement. La comparaison des deux colonnes montre aux évaluateurs du ministère de la Santé et du Fonds mondial le coût humain du déficit de financement.
Les estimations des issues défavorables s'appliquent uniquement au traitement financé par le BPG des personnes séropositives pour la syphilis. Le financement des tests doubles et triples permet le dépistage ; l'impact sur les issues de grossesse dépend du traitement BPG ultérieur.
Tous les paramètres peuvent être ajustés dans le tableau des paramètres d'impact si des données spécifiques au pays sont disponibles. Les valeurs par défaut proviennent de Blencowe et al. 2011 et du GBD 2023.</t>
    </r>
  </si>
  <si>
    <r>
      <t xml:space="preserve">Cette section du résumé est conçue pour aider les équipes nationales à démontrer la valeur de leur  demande de financement </t>
    </r>
    <r>
      <rPr>
        <b/>
        <sz val="11"/>
        <color theme="1"/>
        <rFont val="Aptos Narrow"/>
        <family val="2"/>
        <scheme val="minor"/>
      </rPr>
      <t>pour la syphilis</t>
    </r>
    <r>
      <rPr>
        <sz val="11"/>
        <color theme="1"/>
        <rFont val="Aptos Narrow"/>
        <family val="2"/>
        <scheme val="minor"/>
      </rPr>
      <t xml:space="preserve"> aux responsables du ministère de la Santé et aux évaluateurs du Fonds mondial.</t>
    </r>
  </si>
  <si>
    <r>
      <rPr>
        <b/>
        <sz val="11"/>
        <color theme="1"/>
        <rFont val="Aptos Narrow"/>
        <family val="2"/>
        <scheme val="minor"/>
      </rPr>
      <t>Données de financement</t>
    </r>
    <r>
      <rPr>
        <sz val="11"/>
        <color theme="1"/>
        <rFont val="Aptos Narrow"/>
        <family val="2"/>
        <scheme val="minor"/>
      </rPr>
      <t xml:space="preserve">
Saisissez séparément les montants de financement disponibles pour les tests doubles, les tests triples (le cas échéant) et les BPG provenant de sources gouvernementales nationales et du Fonds mondial. L'outil accepte les totaux sur trois ans. Laissez les champs vides si une source de financement n'est pas applicable.</t>
    </r>
  </si>
  <si>
    <t>GLOSSAIRE</t>
  </si>
  <si>
    <t>Terme</t>
  </si>
  <si>
    <t>Définition</t>
  </si>
  <si>
    <t>Test double</t>
  </si>
  <si>
    <t>Test de diagnostic rapide double VIH/syphilis. Détecte à la fois le VIH et la syphilis à partir d'un seul prélèvement par piqûre au doigt.</t>
  </si>
  <si>
    <t>Test triple</t>
  </si>
  <si>
    <t>Ensemble de trois tests de diagnostic rapide au point de service permettant de dépister simultanément le VIH, l'antigène de surface de l'hépatite B (HBsAg) et la syphilis lors d'une seule consultation.</t>
  </si>
  <si>
    <t>Test HBsAg</t>
  </si>
  <si>
    <t>Test de dépistage de l'antigène de surface de l'hépatite B. Test rapide réalisé au point de service, utilisé pour détecter la présence du virus de l'hépatite B dans le sang d'une personne.</t>
  </si>
  <si>
    <t>Pénicilline G benzathine. Traitement recommandé pour la syphilis pendant la grossesse. Administrée en une seule injection intramusculaire de 2,4 MIU.</t>
  </si>
  <si>
    <t>Fumarate de disoproxil ténofovir, un médicament antiviral oral de première intention utilisé pour prévenir et traiter l'infection chronique par le VHB.</t>
  </si>
  <si>
    <t>Coût au débarquement</t>
  </si>
  <si>
    <t>Coût total d'un produit après ajout des frais de transport, d'assurance, d'entreposage, de distribution, d'assurance qualité et de douane au coût unitaire de base.</t>
  </si>
  <si>
    <t>Stock tampon</t>
  </si>
  <si>
    <t>Stock supplémentaire détenu pour éviter les ruptures de stock. Exprimé en mois d'approvisionnement.</t>
  </si>
  <si>
    <t>Taux de gaspillage</t>
  </si>
  <si>
    <t>Pourcentage de tests qui ne seront probablement pas utilisés en raison de leur expiration, d'un endommagement ou de pertes liées à la manutention. S'applique uniquement aux tests doubles et triples.</t>
  </si>
  <si>
    <t>Fréquence d'approvisionnement</t>
  </si>
  <si>
    <t>Fréquence à laquelle les commandes sont passées. Les options sont : annuelle, semestrielle ou trimestrielle. La plupart des pays commandent une fois ou au maximum deux fois par an.</t>
  </si>
  <si>
    <t>Emballage</t>
  </si>
  <si>
    <t>L'unité de commande standard pour un produit. La taille des conditionnements varie selon le produit et le fournisseur. Les calculs budgétaires utilisent les quantités par conditionnement, et non les unités individuelles.</t>
  </si>
  <si>
    <t>Année de vie ajustée sur l'incapacité. Mesure de la charge de morbidité combinant les années de vie perdues en raison d'un décès prématuré et les années vécues avec un handicap. Un DALY équivaut à une année de vie en bonne santé perdue.</t>
  </si>
  <si>
    <t>Années de vie perdues. La composante mortalité des AVCI. Calculées en multipliant le nombre de décès par l'espérance de vie standard à l'âge du décès.</t>
  </si>
  <si>
    <t>Années vécues avec un handicap. La composante morbidité des AVCI. Calculée en multipliant le nombre de cas par le poids du handicap, puis par la durée.</t>
  </si>
  <si>
    <t>Cycle de subventions n° 8 du Fonds mondial, couvrant la période 2027-2029.</t>
  </si>
  <si>
    <t>Outil de gestion des achats de produits de santé. Modèle Excel du Fonds mondial permettant de documenter les plans d'achat de produits dans les demandes de financement.</t>
  </si>
  <si>
    <t>Gouvernement des États-Unis. Désigne les programmes financés par le gouvernement américain.</t>
  </si>
  <si>
    <t>Soins prénatals. Services de santé prénatale destinés aux femmes enceintes.</t>
  </si>
  <si>
    <t>Autres populations</t>
  </si>
  <si>
    <t xml:space="preserve">Populations autres que les femmes enceintes pouvant être incluses dans un programme de dépistage et de traitement de la syphilis et du VHB, telles que les personnes vivant avec le VIH, les consommateurs de drogues injectables, les travailleurs du sexe ou d’autres groupes présentant une prévalence élevée de syphilis et de VHB. </t>
  </si>
  <si>
    <t>Syphilis congénitale</t>
  </si>
  <si>
    <t>Syphilis transmise de la mère à l'enfant pendant la grossesse ou l'accouchement. Prévisible grâce à un dépistage précoce et à un traitement par BPG.</t>
  </si>
  <si>
    <t xml:space="preserve">DÉPANNAGE </t>
  </si>
  <si>
    <t>Vous trouverez ci-dessous les problèmes courants que les utilisateurs peuvent rencontrer, leurs causes et des solutions étape par étape. Si vous rencontrez un problème qui ne figure pas ici, contactez Evidence Action pour obtenir une assistance technique.</t>
  </si>
  <si>
    <t>Problème</t>
  </si>
  <si>
    <t>Le statut de validation affiche en rouge « Champs obligatoires manquants »</t>
  </si>
  <si>
    <t>Un ou plusieurs champs de saisie en jaune clair dans « Configuration et saisies » sont vides</t>
  </si>
  <si>
    <t>Vérifiez toutes les cellules en jaune dans les sections 1 à 6 et complétez tous les champs obligatoires vides</t>
  </si>
  <si>
    <t>Les quantités semblent anormalement élevées ou faibles</t>
  </si>
  <si>
    <t>Unités de saisie incorrectes (pourcentages saisis sous forme de décimales 0,05 au lieu de 5, ou population mensuelle/trimestrielle saisie au lieu de la population annuelle)</t>
  </si>
  <si>
    <t>Vérifiez que les pourcentages sont saisis sous forme de nombres entiers (80 et non 0,80) et que la population est annuelle et non mensuelle</t>
  </si>
  <si>
    <t>Les lignes « Autres populations » indiquent zéro ou N/A dans tous les résultats</t>
  </si>
  <si>
    <t>Le champ « Autres populations » de la section 7 est vide</t>
  </si>
  <si>
    <t>Saisissez la taille de la population « Autres » dans le premier champ de la section 7 ou laissez toute la section vide si cela ne s'applique pas</t>
  </si>
  <si>
    <t>Le déficit de couverture indique 100 %.</t>
  </si>
  <si>
    <t>Aucun financement n'a été saisi dans la section « Scénario de financement »</t>
  </si>
  <si>
    <t>Saisissez les montants de financement disponibles dans les cellules de saisie jaunes du bloc « Données de financement » du résumé</t>
  </si>
  <si>
    <t>Les chiffres relatifs à l'impact sont vides</t>
  </si>
  <si>
    <t>Les données de financement du BPG sont vides ou la prévalence de la syphilis est nulle</t>
  </si>
  <si>
    <t>Saisissez le financement BPG dans le bloc « Données de financement » et vérifiez que la prévalence de la syphilis est saisie dans « Configuration + Données d'entrée »</t>
  </si>
  <si>
    <t>Les lignes du test triple indiquent zéro</t>
  </si>
  <si>
    <t>La part du double test est fixée à 100 %</t>
  </si>
  <si>
    <t>Réduisez la part du double test en dessous de 100 % dans « Configuration + Données d'entrée » pour activer les calculs du triple test</t>
  </si>
  <si>
    <t>SOURCES DES DONNÉES PAR PAYS</t>
  </si>
  <si>
    <t>Femmes enceintes (nbre)</t>
  </si>
  <si>
    <t>Nombre annuel de naissances x 1,2 
Nombre annuel de naissances = population x taux brut de natalité</t>
  </si>
  <si>
    <t>Tableau de bord mondial de l'UNFPA sur la population</t>
  </si>
  <si>
    <t>Taux brut de natalité</t>
  </si>
  <si>
    <t>Banque mondiale : Taux de natalité brut (pour 1 000 habitants)</t>
  </si>
  <si>
    <t>Prévalence de la syphilis chez les femmes enceintes</t>
  </si>
  <si>
    <t>Observatoire mondial de la santé de l'OMS, « Syphilis, femmes ayant bénéficié de soins prénatals et testées positives à la syphilis (%), cas signalés »</t>
  </si>
  <si>
    <t>Couverture de base du dépistage de la syphilis</t>
  </si>
  <si>
    <t>Observatoire mondial de la santé de l'OMS, « Syphilis, soins prénatals : femmes ayant accès à des services de soins prénatals (ANC) et ayant subi un test de dépistage de la syphilis (%), déclarées »</t>
  </si>
  <si>
    <t>Couverture de base du traitement de la syphilis</t>
  </si>
  <si>
    <t>Observatoire mondial de la santé de l'OMS, « Syphilis, femmes ayant bénéficié de soins prénatals, testées positives à la syphilis et ayant reçu un traitement (%), déclarées »</t>
  </si>
  <si>
    <t>Couverture du dépistage de base du VHB</t>
  </si>
  <si>
    <t>Les données mondiales sur la couverture du dépistage de base du VHB sont limitées. Cet outil utilise une estimation par défaut de 5 %, dérivée de manière prudente d’une estimation de 7,2 % pour le Nigeria. Les équipes nationales doivent remplacer cette valeur par des données spécifiques à leur pays lorsqu’elles sont disponibles. Le Rapport mondial sur l’hépatite 2026 de l’OMS ne mentionne pas directement cet indicateur, mais confirme que la mise en œuvre du dépistage systématique du VHB reste inégale tant au niveau des politiques que de la pratique.</t>
  </si>
  <si>
    <t>Estimation de 7,2 % pour le Nigeria : https://journals.sagepub.com/doi/10.1177/09564624211035922</t>
  </si>
  <si>
    <t>Couverture de la prophylaxie de base contre le VHB</t>
  </si>
  <si>
    <t>Les données mondiales sur la couverture de la prophylaxie de base contre le VHB sont limitées. Les estimations sont issues de l'étude de modélisation de l'Observatoire Polaris, validée par le Rapport mondial sur l'hépatite 2026 de l'OMS.</t>
  </si>
  <si>
    <t>Collaborateurs de l'Observatoire Polaris. Prévalence mondiale, traitement et prévention de l'infection par le virus de l'hépatite B en 2016 : une étude de modélisation. Lancet Gastroenterol Hepatol. 2018 ; 3(6) : 383-403. doi : 10.1016/S2468-1253(18)30056-6. PMID : 29599078.</t>
  </si>
  <si>
    <t>DONNÉES À SAISIR DANS LE CALCULATEUR INTÉGRÉ</t>
  </si>
  <si>
    <r>
      <rPr>
        <b/>
        <sz val="11"/>
        <color theme="1"/>
        <rFont val="Aptos Narrow"/>
        <family val="2"/>
        <scheme val="minor"/>
      </rPr>
      <t>INSTRUCTIONS :</t>
    </r>
    <r>
      <rPr>
        <sz val="11"/>
        <color theme="1"/>
        <rFont val="Aptos Narrow"/>
        <family val="2"/>
        <scheme val="minor"/>
      </rPr>
      <t xml:space="preserve"> Sélectionnez votre pays dans le menu déroulant de la section 1. Les champs de données clés seront automatiquement renseignés à partir de la base de données nationale. Vous pouvez remplacer les valeurs renseignées automatiquement si vous disposez de données plus récentes. Remplissez tous les champs surlignés en jaune avant d'utiliser les onglets de résultats.</t>
    </r>
  </si>
  <si>
    <t>SECTION 1 : CONTEXTE DE L'APPLICATION</t>
  </si>
  <si>
    <t>Nom du pays</t>
  </si>
  <si>
    <t>Si « Autre » est sélectionné, saisissez le nom du pays ici :</t>
  </si>
  <si>
    <t>Devise</t>
  </si>
  <si>
    <t>Sélectionnez le pays dans la liste déroulante pour remplir automatiquement les données. S'il ne figure pas dans la liste, sélectionnez « Autre » et saisissez toutes les données manuellement.</t>
  </si>
  <si>
    <t>Nom à afficher dans les onglets de sortie s'il ne figure pas dans la liste ci-dessus.</t>
  </si>
  <si>
    <t>Sélectionnez la devise dans laquelle la demande sera soumise.</t>
  </si>
  <si>
    <t>SECTION 2 : DONNÉES ÉPIDÉMIOLOGIQUES</t>
  </si>
  <si>
    <r>
      <rPr>
        <b/>
        <sz val="11"/>
        <color theme="1"/>
        <rFont val="Aptos Narrow"/>
        <family val="2"/>
        <scheme val="minor"/>
      </rPr>
      <t xml:space="preserve">FEMMES ENCEINTES
</t>
    </r>
    <r>
      <rPr>
        <sz val="11"/>
        <color theme="1"/>
        <rFont val="Aptos Narrow"/>
        <family val="2"/>
        <scheme val="minor"/>
      </rPr>
      <t>Remplissez la section suivante si le pays achète des produits pour le dépistage et le traitement des femmes enceintes.</t>
    </r>
  </si>
  <si>
    <t>Nombre annuel de femmes enceintes</t>
  </si>
  <si>
    <t>Taux de croissance démographique annuel (%)</t>
  </si>
  <si>
    <t>Prévalence de la syphilis chez les femmes enceintes (%)</t>
  </si>
  <si>
    <t>Couverture actuelle du dépistage de la syphilis (%)</t>
  </si>
  <si>
    <t>Couverture actuelle du traitement de la syphilis (%)</t>
  </si>
  <si>
    <t>Prévalence du VHB chez les femmes enceintes (%)</t>
  </si>
  <si>
    <t>Couverture actuelle du dépistage du VHB (%)</t>
  </si>
  <si>
    <t xml:space="preserve">Couverture actuelle de la prophylaxie contre le VHB (%) </t>
  </si>
  <si>
    <t>Nombre total estimé de femmes enceintes attendues au cours de l'année 1.</t>
  </si>
  <si>
    <t>Saisissez une valeur comprise entre 0 et 100 sans le signe % (par exemple, 2,5 pour 2,5 %).</t>
  </si>
  <si>
    <t>Entrez une valeur comprise entre 0 et 100 sans le signe % (par exemple, 3,5 pour 3,5 %).</t>
  </si>
  <si>
    <t>Pourcentage de référence des femmes enceintes ayant subi un dépistage de la syphilis. Entrez une valeur comprise entre 0 et 100 sans le signe %.</t>
  </si>
  <si>
    <t>Pourcentage de référence des femmes séropositives pour la syphilis qui reçoivent un traitement. Entrez une valeur comprise entre 0 et 100 sans le signe %.</t>
  </si>
  <si>
    <t>Pourcentage de référence des femmes enceintes dépistées pour le VHB à l'aide du test HBsAg. Saisissez une valeur comprise entre 0 et 100 sans le signe %.</t>
  </si>
  <si>
    <t>Pourcentage de référence des femmes HBsAg-positives recevant une prophylaxie au TDF. Entrez une valeur comprise entre 0 et 100 sans le signe %.</t>
  </si>
  <si>
    <r>
      <rPr>
        <b/>
        <sz val="11"/>
        <color theme="1"/>
        <rFont val="Aptos Narrow"/>
        <family val="2"/>
        <scheme val="minor"/>
      </rPr>
      <t xml:space="preserve">FACULTATIF - AUTRES POPULATIONS
</t>
    </r>
    <r>
      <rPr>
        <sz val="11"/>
        <color theme="1"/>
        <rFont val="Aptos Narrow"/>
        <family val="2"/>
        <scheme val="minor"/>
      </rPr>
      <t>Remplissez cette section si le pays achète des produits pour le dépistage et le traitement d'autres populations (personnes vivant avec le VIH, personnes s'injectant des drogues, etc.). Les autres populations seront calculées séparément puis combinées avec les femmes enceintes pour déterminer les besoins d'approvisionnement totaux. Laissez tous les champs vides pour exclure les autres populations.</t>
    </r>
  </si>
  <si>
    <t>Taille annuelle de la population - Syphilis</t>
  </si>
  <si>
    <t>Taille annuelle de la population - VHB</t>
  </si>
  <si>
    <t>Prévalence de la syphilis parmi les autres populations (%)</t>
  </si>
  <si>
    <t>Prévalence du VHB dans les autres populations (%)</t>
  </si>
  <si>
    <t>Indiquez la taille combinée de tous les autres groupes de population ciblés pour le dépistage de la syphilis (PVVIH, UDI, etc.). Laissez ce champ vide pour exclure les autres populations de la quantification.</t>
  </si>
  <si>
    <t>Saisissez la taille combinée de tous les autres groupes de population ciblés pour le dépistage de l'hépatite B (PVVIH, UDI, etc.). Laissez ce champ vide pour exclure les autres populations de la quantification.</t>
  </si>
  <si>
    <t>Veuillez saisir une valeur comprise entre 0 et 100 sans le signe % (par exemple, 3,5 pour 3,5 %).</t>
  </si>
  <si>
    <t>Pourcentage de référence des autres populations ayant bénéficié d'un dépistage de la syphilis. Saisissez une valeur comprise entre 0 et 100 sans le signe %.</t>
  </si>
  <si>
    <t>Pourcentage de référence des personnes issues d'autres populations testées positives à la syphilis qui reçoivent un traitement. Entrez une valeur comprise entre 0 et 100 sans le signe %.</t>
  </si>
  <si>
    <t xml:space="preserve"> SECTION 3 : OBJECTIFS DU PROGRAMME</t>
  </si>
  <si>
    <t>OBJECTIFS EN MATIÈRE DE SYPHILIS</t>
  </si>
  <si>
    <t>Nombre de tests par grossesse</t>
  </si>
  <si>
    <t>Partenaires testés</t>
  </si>
  <si>
    <t>Partenaires traités</t>
  </si>
  <si>
    <t>Couverture cible du dépistage de la syphilis (%)</t>
  </si>
  <si>
    <t>Couverture cible du traitement de la syphilis (%)</t>
  </si>
  <si>
    <t>OBJECTIFS POUR L'HÉPATITE B</t>
  </si>
  <si>
    <t>Couverture cible du dépistage du VHB (%)</t>
  </si>
  <si>
    <t>Couverture cible du traitement contre le VHB (%)</t>
  </si>
  <si>
    <t>Année 1</t>
  </si>
  <si>
    <t>Année 2</t>
  </si>
  <si>
    <t>Année 3</t>
  </si>
  <si>
    <t>Saisissez le nombre moyen de tests par femme enceinte pendant la grossesse. Par défaut : 1 (un seul test lors de la première consultation prénatale). Saisissez 2 en cas de nouveau test au 3e trimestre, 3 en cas de test à chaque trimestre, ou utilisez des décimales pour les nouveaux tests partiels (par exemple, 1,5 si 50 % des femmes subissent un nouveau test une fois).</t>
  </si>
  <si>
    <r>
      <rPr>
        <b/>
        <i/>
        <sz val="9"/>
        <color theme="1" tint="0.499984740745262"/>
        <rFont val="Aptos Narrow"/>
        <family val="2"/>
        <scheme val="minor"/>
      </rPr>
      <t>FACULTATIF :</t>
    </r>
    <r>
      <rPr>
        <i/>
        <sz val="9"/>
        <color theme="1" tint="0.499984740745262"/>
        <rFont val="Aptos Narrow"/>
        <family val="2"/>
        <scheme val="minor"/>
      </rPr>
      <t xml:space="preserve"> Indiquez le nombre moyen de partenaires testés par femme séropositive pour la syphilis (par exemple, 0,5 si la moitié des partenaires des femmes séropositives sont testés, 1,0 si tous les partenaires sont testés, 1,5 si plusieurs partenaires par femme séropositive sont testés). Laissez ce champ vide pour exclure le dépistage des partenaires de la quantification.</t>
    </r>
  </si>
  <si>
    <r>
      <rPr>
        <b/>
        <i/>
        <sz val="9"/>
        <color theme="1" tint="0.499984740745262"/>
        <rFont val="Aptos Narrow"/>
        <family val="2"/>
        <scheme val="minor"/>
      </rPr>
      <t xml:space="preserve">FACULTATIF : </t>
    </r>
    <r>
      <rPr>
        <i/>
        <sz val="9"/>
        <color theme="1" tint="0.499984740745262"/>
        <rFont val="Aptos Narrow"/>
        <family val="2"/>
        <scheme val="minor"/>
      </rPr>
      <t>Entrez le nombre moyen de partenaires traités par femme séropositive pour la syphilis (par exemple, 0,5 si la moitié des partenaires des femmes séropositives sont traités, 1,0 si tous les partenaires sont traités, 1,5 si plusieurs partenaires par femme séropositive sont traités). Laissez ce champ vide pour exclure le traitement des partenaires de la quantification.</t>
    </r>
  </si>
  <si>
    <t>Pourcentage cible de femmes enceintes à dépister pour la syphilis chaque année. Entrez une valeur comprise entre 0 et 100 sans le signe %.</t>
  </si>
  <si>
    <t>Pourcentage cible de femmes séropositives pour la syphilis à traiter chaque année. Entrez une valeur comprise entre 0 et 100 sans le signe %.</t>
  </si>
  <si>
    <r>
      <rPr>
        <b/>
        <i/>
        <sz val="9"/>
        <color theme="1" tint="0.499984740745262"/>
        <rFont val="Aptos Narrow"/>
        <family val="2"/>
        <scheme val="minor"/>
      </rPr>
      <t>FACULTATIF :</t>
    </r>
    <r>
      <rPr>
        <i/>
        <sz val="9"/>
        <color theme="1" tint="0.499984740745262"/>
        <rFont val="Aptos Narrow"/>
        <family val="2"/>
        <scheme val="minor"/>
      </rPr>
      <t xml:space="preserve"> Entrez le nombre moyen de partenaires testés par femme HBsAg-positive (par exemple, 0,5 si la moitié des partenaires des femmes positives sont testés, 1,0 si tous les partenaires sont testés, 1,5 si plusieurs partenaires par femme positive sont testés). Laissez ce champ vide pour exclure le dépistage des partenaires de la quantification.</t>
    </r>
  </si>
  <si>
    <r>
      <rPr>
        <b/>
        <i/>
        <sz val="9"/>
        <color theme="1" tint="0.499984740745262"/>
        <rFont val="Aptos Narrow"/>
        <family val="2"/>
        <scheme val="minor"/>
      </rPr>
      <t xml:space="preserve">FACULTATIF : </t>
    </r>
    <r>
      <rPr>
        <i/>
        <sz val="9"/>
        <color theme="1" tint="0.499984740745262"/>
        <rFont val="Aptos Narrow"/>
        <family val="2"/>
        <scheme val="minor"/>
      </rPr>
      <t>Indiquez le nombre moyen de partenaires traités par femme HBsAg-positive (par exemple, 0,5 si la moitié des partenaires des femmes positives sont traités, 1,0 si tous les partenaires sont traités, 1,5 si plusieurs partenaires par femme positive sont traités). Laissez ce champ vide pour exclure le traitement des partenaires de la quantification.</t>
    </r>
  </si>
  <si>
    <t>Pourcentage cible de femmes enceintes à dépister pour le VHB chaque année. Entrez une valeur comprise entre 0 et 100 sans le signe %.</t>
  </si>
  <si>
    <t>Pourcentage cible de femmes HBsAg-positives devant recevoir une prophylaxie au TDF chaque année. Entrez une valeur comprise entre 0 et 100 sans le signe %.</t>
  </si>
  <si>
    <t>Nombre de tests par personne</t>
  </si>
  <si>
    <t>Couverture cible du dépistage (%)</t>
  </si>
  <si>
    <t>Couverture thérapeutique visée (%)</t>
  </si>
  <si>
    <t>Nombre moyen de tests par personne. Indiquez 2 ou plus si les autres populations font l'objet de nouveaux tests réguliers.</t>
  </si>
  <si>
    <r>
      <rPr>
        <b/>
        <i/>
        <sz val="9"/>
        <color theme="1" tint="0.499984740745262"/>
        <rFont val="Aptos Narrow"/>
        <family val="2"/>
        <scheme val="minor"/>
      </rPr>
      <t>FACULTATIF :</t>
    </r>
    <r>
      <rPr>
        <i/>
        <sz val="9"/>
        <color theme="1" tint="0.499984740745262"/>
        <rFont val="Aptos Narrow"/>
        <family val="2"/>
        <scheme val="minor"/>
      </rPr>
      <t xml:space="preserve"> Entrez le nombre moyen de partenaires testés par personne séropositive à la syphilis (par exemple, 0,5 si la moitié des partenaires de la personne séropositive sont testés, 1,0 si tous les partenaires sont testés, 1,5 si plusieurs partenaires par personne sont testés). Laissez ce champ vide pour exclure le dépistage des partenaires de la quantification.</t>
    </r>
  </si>
  <si>
    <r>
      <rPr>
        <b/>
        <i/>
        <sz val="9"/>
        <color theme="1" tint="0.499984740745262"/>
        <rFont val="Aptos Narrow"/>
        <family val="2"/>
        <scheme val="minor"/>
      </rPr>
      <t>FACULTATIF :</t>
    </r>
    <r>
      <rPr>
        <i/>
        <sz val="9"/>
        <color theme="1" tint="0.499984740745262"/>
        <rFont val="Aptos Narrow"/>
        <family val="2"/>
        <scheme val="minor"/>
      </rPr>
      <t xml:space="preserve"> Entrez le nombre moyen de partenaires traités par personne séropositive à la syphilis (par exemple, 0,5 si la moitié des partenaires de la personne séropositive sont testés, 1,0 si tous les partenaires sont testés, 1,5 si plusieurs partenaires par personne séropositive sont testés). Laissez ce champ vide pour exclure le traitement des partenaires de la quantification.</t>
    </r>
  </si>
  <si>
    <t>Pourcentage cible d'autres populations à dépister chaque année. Entrez une valeur comprise entre 0 et 100 sans le signe %.</t>
  </si>
  <si>
    <t>Pourcentage cible d'individus séropositifs pour la syphilis issus d'autres populations à traiter chaque année. Saisissez une valeur comprise entre 0 et 100 sans le signe %.</t>
  </si>
  <si>
    <r>
      <rPr>
        <b/>
        <i/>
        <sz val="9"/>
        <color theme="1" tint="0.499984740745262"/>
        <rFont val="Aptos Narrow"/>
        <family val="2"/>
        <scheme val="minor"/>
      </rPr>
      <t>FACULTATIF :</t>
    </r>
    <r>
      <rPr>
        <i/>
        <sz val="9"/>
        <color theme="1" tint="0.499984740745262"/>
        <rFont val="Aptos Narrow"/>
        <family val="2"/>
        <scheme val="minor"/>
      </rPr>
      <t xml:space="preserve"> Indiquez le nombre moyen de partenaires testés par personne HBsAg-positive (par exemple, 0,5 si la moitié des partenaires de la personne positive sont testés, 1,0 si tous les partenaires sont testés, 1,5 si plusieurs partenaires par personne positive sont testés). Laissez ce champ vide pour exclure le dépistage des partenaires de la quantification.</t>
    </r>
  </si>
  <si>
    <r>
      <rPr>
        <b/>
        <i/>
        <sz val="9"/>
        <color theme="1" tint="0.499984740745262"/>
        <rFont val="Aptos Narrow"/>
        <family val="2"/>
        <scheme val="minor"/>
      </rPr>
      <t>FACULTATIF :</t>
    </r>
    <r>
      <rPr>
        <i/>
        <sz val="9"/>
        <color theme="1" tint="0.499984740745262"/>
        <rFont val="Aptos Narrow"/>
        <family val="2"/>
        <scheme val="minor"/>
      </rPr>
      <t xml:space="preserve"> Indiquez le nombre moyen de partenaires traités par personne HBsAg-positive (par exemple, 0,5 si la moitié des partenaires de la personne positive sont testés, 1,0 si tous les partenaires sont testés, 1,5 si plusieurs partenaires par personne positive sont testés). Laissez ce champ vide pour exclure le traitement des partenaires de la quantification.</t>
    </r>
  </si>
  <si>
    <t>SECTION 4 : PARAMÈTRES D'APPROVISIONNEMENT</t>
  </si>
  <si>
    <t>TESTS DOUBLES VIH/SYPHILIS</t>
  </si>
  <si>
    <t>Nombre d'unités par paquet</t>
  </si>
  <si>
    <t>Stock tampon pour le test double (mois d'approvisionnement)</t>
  </si>
  <si>
    <t>Taux de perte (%)</t>
  </si>
  <si>
    <t>Fréquence d'approvisionnement du test double</t>
  </si>
  <si>
    <t>Part du test double, année 1 (%)</t>
  </si>
  <si>
    <t>Part du test double, année 2 (%)</t>
  </si>
  <si>
    <t>Part des tests doubles, année 3 (%)</t>
  </si>
  <si>
    <t>TESTS HBsAg UNIQUES</t>
  </si>
  <si>
    <t>Stock tampon de tests HBsAg (mois d'approvisionnement)</t>
  </si>
  <si>
    <t>Fréquence de réalisation du test HBsAg</t>
  </si>
  <si>
    <t>Part des tests HBsAg année 1 (%)</t>
  </si>
  <si>
    <t>Part des tests HBsAg année 2 (%)</t>
  </si>
  <si>
    <t>Part des tests HBsAg année 3 (%)</t>
  </si>
  <si>
    <t>Fourchette habituelle : 0,84 $ à 0,95 $ par prix PPM du Fonds mondial. Convertissez si vous soumettez en EUR.</t>
  </si>
  <si>
    <t>Indiquez le nombre de tests par boîte fourni par votre fournisseur.</t>
  </si>
  <si>
    <t>Nombre de mois de consommation moyenne à conserver en réserve.</t>
  </si>
  <si>
    <t>Valeur par défaut : 5 %. À ajuster si nécessaire.</t>
  </si>
  <si>
    <t>Sélectionnez la fréquence à laquelle les tests doubles seront commandés.</t>
  </si>
  <si>
    <t>Indiquez le pourcentage de tests achetés au total qui seront des tests doubles au cours de l'année 1. Entrez une valeur comprise entre 0 et 100. Entrez 100 si vous n'achetez pas de tests triples.</t>
  </si>
  <si>
    <t>Saisissez le pourcentage du total des tests achetés qui seront des tests doubles au cours de l'année 2. Saisissez une valeur comprise entre 0 et 100. Saisissez 100 si vous n'achetez pas de tests triples.</t>
  </si>
  <si>
    <t>Saisissez le pourcentage de tests achetés au total qui seront des tests doubles au cours de l'année 3. Saisissez une valeur comprise entre 0 et 100. Saisissez 100 si vous n'achetez pas de tests triples.</t>
  </si>
  <si>
    <t>Généralement 1,00 $ selon le catalogue de fournitures de l'UNICEF et la liste de prix du Fonds mondial. Ajustez ce montant en fonction du devis de votre fournisseur national.</t>
  </si>
  <si>
    <t>Sélectionnez la fréquence à laquelle les tests triples seront commandés.</t>
  </si>
  <si>
    <t>Calculé automatiquement — synchronisé avec la part des tests doubles. Mettez à jour la part des tests doubles année 1 (%) pour modifier.</t>
  </si>
  <si>
    <t>Calculé automatiquement — synchronisé avec la part des tests doubles. Mettre à jour la part des tests doubles, année 2 (%) pour modifier.</t>
  </si>
  <si>
    <t>Calculé automatiquement — synchronisé avec la part de test double. Mettre à jour la part de test double année 3 (%) pour modifier.</t>
  </si>
  <si>
    <t>FACULTATIF - TRIPLE TEST VIH/SYPHILIS/HÉPATITE B</t>
  </si>
  <si>
    <t>Stock tampon pour le triple test (en mois d'approvisionnement)</t>
  </si>
  <si>
    <t>Fréquence d'approvisionnement pour le triple test</t>
  </si>
  <si>
    <t>Part des triples tests, année 1 (%)</t>
  </si>
  <si>
    <t>Part des triples tests année 2 (%)</t>
  </si>
  <si>
    <t>Part des tests triples année 3 (%)</t>
  </si>
  <si>
    <t>Estimation préliminaire : 2,60 $ par test. Ajustez ce montant en fonction du devis de votre fournisseur national.</t>
  </si>
  <si>
    <t>Calculé automatiquement. Mettez à jour la part des tests doubles en année 1 (%) pour modifier cette valeur.</t>
  </si>
  <si>
    <t>Calculé automatiquement. Mettez à jour la part des tests doubles de l'année 2 (%) pour modifier cette valeur.</t>
  </si>
  <si>
    <t>Calculé automatiquement. Mettez à jour la part du double test année 3 (%) pour modifier.</t>
  </si>
  <si>
    <t xml:space="preserve">PÉNICILLINE G BENZATHINE (BPG) </t>
  </si>
  <si>
    <t>Stock de sécurité de BPG (en mois d'approvisionnement)</t>
  </si>
  <si>
    <t>Fréquence d'approvisionnement pour le test BPG</t>
  </si>
  <si>
    <t>Fourchette type : 0,79 $ à 3,19 $ selon le catalogue de fournitures de l'UNICEF. Convertissez si vous soumettez en EUR.</t>
  </si>
  <si>
    <t>Indiquez le nombre de doses par boîte fourni par votre fournisseur.</t>
  </si>
  <si>
    <t xml:space="preserve">Nombre de mois de consommation moyenne à conserver comme réserve. </t>
  </si>
  <si>
    <t>Sélectionnez la fréquence à laquelle le BPG sera commandé.</t>
  </si>
  <si>
    <t>Nombre de mois d'approvisionnement en TDF par femme enceinte HBsAg-positive</t>
  </si>
  <si>
    <t>Stock tampon de TDF (mois d'approvisionnement)</t>
  </si>
  <si>
    <t>Fréquence d'approvisionnement en TDF</t>
  </si>
  <si>
    <t>Généralement 2,40 $ par flacon, selon le catalogue de fournitures de l'UNICEF et la liste de prix du Fonds mondial. Convertissez si vous soumettez en EUR.</t>
  </si>
  <si>
    <t>Valeur par défaut : 1, selon le catalogue de fournitures de l'UNICEF. Ajustez le nombre de flacons par boîte en fonction de votre fournisseur.</t>
  </si>
  <si>
    <t>Valeur par défaut recommandée : 7 mois, en supposant que le TDF commence à 28 semaines et se poursuive pendant 3 mois après l'accouchement. Modifiez en fonction des directives et recommandations nationales concernant le moment où commencer le TDF.
Remarque : après 3 mois suivant l'accouchement, les femmes enceintes doivent être orientées vers le programme de lutte contre l'hépatite pour un suivi, et le TDF/traitement doit être quantifié et acheté par l'intermédiaire de ce programme.</t>
  </si>
  <si>
    <t>Sélectionnez la fréquence à laquelle le TDF sera commandé.</t>
  </si>
  <si>
    <r>
      <rPr>
        <b/>
        <sz val="11"/>
        <color theme="1"/>
        <rFont val="Aptos Narrow"/>
        <family val="2"/>
        <scheme val="minor"/>
      </rPr>
      <t xml:space="preserve">FACULTATIF - AUTRES POPULATIONS
</t>
    </r>
    <r>
      <rPr>
        <sz val="11"/>
        <color theme="1"/>
        <rFont val="Aptos Narrow"/>
        <family val="2"/>
        <scheme val="minor"/>
      </rPr>
      <t>Remplissez cette section si le pays achète des produits pour le dépistage et le traitement d'autres populations (PVVIH, UDI, etc.). Les autres populations seront calculées séparément, puis combinées avec les femmes enceintes pour déterminer les besoins d'approvisionnement totaux. On suppose que le coût unitaire, la taille des conditionnements et le taux de gaspillage sont les mêmes que pour les produits mentionnés ci-dessus pour les femmes enceintes. Laissez tous les champs vides pour exclure les autres populations.</t>
    </r>
  </si>
  <si>
    <t>Sélectionnez la fréquence à laquelle les tests doubles seront commandés. Si ce champ est laissé vide, la fréquence d'approvisionnement par défaut pour les femmes enceintes s'applique.</t>
  </si>
  <si>
    <t>Sélectionnez la fréquence à laquelle les tests HBsAg seront commandés. Si ce champ est laissé vide, la fréquence d'approvisionnement par défaut pour les femmes enceintes s'applique.</t>
  </si>
  <si>
    <t>Sélectionnez la fréquence à laquelle les triples tests seront prescrits. Si ce champ est laissé vide, la fréquence par défaut correspond à celle des triples tests pour les femmes enceintes.</t>
  </si>
  <si>
    <t>PÉNICILLINE G BENZATHINE (BPG)</t>
  </si>
  <si>
    <t xml:space="preserve">PROPHYLAXIE AU TDF </t>
  </si>
  <si>
    <t>Nombre de mois d'approvisionnement en TDF par personne HBsAg-positive</t>
  </si>
  <si>
    <t>Sélectionnez la fréquence à laquelle le BPG sera commandé. Si ce champ est laissé vide, la fréquence d'approvisionnement en BPG pour les femmes enceintes est utilisée par défaut.</t>
  </si>
  <si>
    <t>Modifiez les informations en fonction des directives et recommandations nationales relatives au traitement par TDF.</t>
  </si>
  <si>
    <t>Sélectionnez la fréquence à laquelle le TDF sera commandé. Si ce champ est laissé vide, la fréquence d'approvisionnement en TDF pour les femmes enceintes sera utilisée par défaut.</t>
  </si>
  <si>
    <t>SECTION 5 : ÉLÉMENTS DU COÛT DÉBARQUÉ</t>
  </si>
  <si>
    <t>Méthode de calcul du coût au débarquement</t>
  </si>
  <si>
    <t>MÉTHODE SIMPLE</t>
  </si>
  <si>
    <t>Multiplicateur du coût au débarquement</t>
  </si>
  <si>
    <t>MÉTHODE DÉTAILLÉE (% du coût de base)</t>
  </si>
  <si>
    <t>Fret (%)</t>
  </si>
  <si>
    <t>Assurance (%)</t>
  </si>
  <si>
    <t>Entreposage (%)</t>
  </si>
  <si>
    <t>Assurance qualité/CQ (%)</t>
  </si>
  <si>
    <t>Douanes/droits de douane (%)</t>
  </si>
  <si>
    <t>Simple = multiplicateur unique. Détaillée = ventilation détaillée des coûts.</t>
  </si>
  <si>
    <t>Coût total au débarquement = coût de base × multiplicateur. Valeur par défaut : 1,20 (majoration de 20 % pour tous les coûts supplémentaires).</t>
  </si>
  <si>
    <t>Saisissez un nombre (par exemple, 7,5 pour 7,5 %). Fourchette habituelle : 5 à 10 %. Ajustez en fonction de la situation du pays.</t>
  </si>
  <si>
    <t xml:space="preserve">Saisissez un chiffre (par exemple, 1,0 pour 1,0 %). En général, environ 1 % de la valeur de l'expédition. </t>
  </si>
  <si>
    <t>Saisissez un chiffre (par exemple, 4,5 pour 4,5 %). Fourchette habituelle : 3 à 6 %. Comprend le stockage et la gestion des stocks.</t>
  </si>
  <si>
    <t>Saisir un chiffre (par exemple, 3,5 pour 3,5 %). Fourchette type : 2 à 5 %. Comprend le transport de l'entrepôt central vers les sites.</t>
  </si>
  <si>
    <t>Saisissez un chiffre (par exemple, 2,0 pour 2,0 %). Fourchette habituelle : 1,5 à 3 %. Comprend les essais et le contrôle qualité.</t>
  </si>
  <si>
    <t>Saisissez un nombre (par exemple, 3,5 pour 3,5 %). Fourchette habituelle : 2 à 5 %. Vérifiez les barèmes douaniers locaux et ajustez si nécessaire.</t>
  </si>
  <si>
    <t>SECTION 6 : FINANCEMENT NATIONAL (FACULTATIF)</t>
  </si>
  <si>
    <t>Remarque : les scénarios sont facultatifs. Tous les coûts sont par défaut financés à 100 % par le Fonds mondial si le financement public n'est pas précisé. Utilisez les scénarios pour modéliser différents engagements de cofinancement ou des plans de transition pluriannuels.
Saisissez différents pourcentages de cofinancement public pour voir comment évolue le déficit de financement du Fonds mondial. Laissez tous les champs vides si vous ne modélisez pas le financement national.</t>
  </si>
  <si>
    <t>Volet financement</t>
  </si>
  <si>
    <t>Scénario 1</t>
  </si>
  <si>
    <t>Scénario 2</t>
  </si>
  <si>
    <t>Scénario 3</t>
  </si>
  <si>
    <t>Financement public (%)</t>
  </si>
  <si>
    <r>
      <rPr>
        <b/>
        <i/>
        <sz val="9"/>
        <color theme="1" tint="0.499984740745262"/>
        <rFont val="Aptos Narrow"/>
        <family val="2"/>
        <scheme val="minor"/>
      </rPr>
      <t>FACULTATIF :</t>
    </r>
    <r>
      <rPr>
        <i/>
        <sz val="9"/>
        <color theme="1" tint="0.499984740745262"/>
        <rFont val="Aptos Narrow"/>
        <family val="2"/>
        <scheme val="minor"/>
      </rPr>
      <t xml:space="preserve"> Entrez le pourcentage du budget total (0-100 sans le signe %). Laissez ce champ vide si ce scénario n'est pas utilisé.</t>
    </r>
  </si>
  <si>
    <t>Calculé automatiquement en fonction du pourcentage saisi ci-dessus.</t>
  </si>
  <si>
    <t>Calculé automatiquement. Indique les besoins restants après la contribution du gouvernement.</t>
  </si>
  <si>
    <t>STATUT DE VALIDATION DES DONNÉES</t>
  </si>
  <si>
    <t>Champs obligatoires remplis ?</t>
  </si>
  <si>
    <t>Statut de la recherche dans la base de données</t>
  </si>
  <si>
    <t>Cameroun</t>
  </si>
  <si>
    <t>Tchad</t>
  </si>
  <si>
    <t>Côte d'Ivoire</t>
  </si>
  <si>
    <t>République démocratique du Congo</t>
  </si>
  <si>
    <t>Gambie</t>
  </si>
  <si>
    <t>Guinée</t>
  </si>
  <si>
    <t>Libéria</t>
  </si>
  <si>
    <t>Sénégal</t>
  </si>
  <si>
    <t>Afrique du Sud</t>
  </si>
  <si>
    <t>Tanzanie</t>
  </si>
  <si>
    <t>Ouganda</t>
  </si>
  <si>
    <t>Zambie</t>
  </si>
  <si>
    <t>Autres</t>
  </si>
  <si>
    <t>RÉSUMÉ</t>
  </si>
  <si>
    <t>Pays :</t>
  </si>
  <si>
    <t>CHIFFRES CLÉS</t>
  </si>
  <si>
    <t>TESTS DOUBLES</t>
  </si>
  <si>
    <t>Nombre total de tests nécessaires (3 ans)</t>
  </si>
  <si>
    <t>Nombre total de kits nécessaires (3 ans)</t>
  </si>
  <si>
    <t>Budget total (3 ans)</t>
  </si>
  <si>
    <t>TESTS HBsAg</t>
  </si>
  <si>
    <t>TESTS TRIPLES</t>
  </si>
  <si>
    <t>Nombre total de doses nécessaires (3 ans)</t>
  </si>
  <si>
    <t>PAR ANNÉE</t>
  </si>
  <si>
    <t>Total sur 3 ans</t>
  </si>
  <si>
    <t>Tests doubles (unités)</t>
  </si>
  <si>
    <t>Kits de tests doubles</t>
  </si>
  <si>
    <t>Tests HBsAg (unités)</t>
  </si>
  <si>
    <t>Kits HBsAg</t>
  </si>
  <si>
    <t>Tests triples (unités)</t>
  </si>
  <si>
    <t>Packs de tests triples</t>
  </si>
  <si>
    <t>Doses de BPG</t>
  </si>
  <si>
    <t>Packs de BPG</t>
  </si>
  <si>
    <t>Flacons de TDF (unités)</t>
  </si>
  <si>
    <t>Paquets TDF</t>
  </si>
  <si>
    <t>SCÉNARIOS DE FINANCEMENT NATIONAL</t>
  </si>
  <si>
    <t>Remarque : les scénarios sont facultatifs. Tous les coûts sont par défaut financés à 100 % par le Fonds mondial si le financement public n'est pas spécifié. Utilisez les scénarios pour modéliser différents engagements de cofinancement ou des plans de transition pluriannuels.</t>
  </si>
  <si>
    <t>Financement national %</t>
  </si>
  <si>
    <t>SCÉNARIO DE FINANCEMENT ET ANALYSE DE LA COUVERTURE</t>
  </si>
  <si>
    <r>
      <t xml:space="preserve">Cette section présente la couverture et les déficits de financement pour </t>
    </r>
    <r>
      <rPr>
        <i/>
        <sz val="11"/>
        <color theme="1"/>
        <rFont val="Aptos Narrow"/>
        <family val="2"/>
        <scheme val="minor"/>
      </rPr>
      <t xml:space="preserve"> le dépistage et le traitement</t>
    </r>
    <r>
      <rPr>
        <b/>
        <i/>
        <sz val="11"/>
        <color theme="1"/>
        <rFont val="Aptos Narrow"/>
        <family val="2"/>
        <scheme val="minor"/>
      </rPr>
      <t>de la syphilis</t>
    </r>
    <r>
      <rPr>
        <i/>
        <sz val="11"/>
        <color theme="1"/>
        <rFont val="Aptos Narrow"/>
        <family val="2"/>
        <scheme val="minor"/>
      </rPr>
      <t>. Saisissez ci-dessous les fonds disponibles pour voir ce que chaque montant couvrira et le déficit par rapport aux besoins de l’ensemble de la population. Les cellules jaunes sont des champs de saisie. Toutes les autres cellules sont calculées automatiquement.</t>
    </r>
  </si>
  <si>
    <t>DONNÉES DE FINANCEMENT</t>
  </si>
  <si>
    <t>Produit</t>
  </si>
  <si>
    <t>Source de financement</t>
  </si>
  <si>
    <t>Tests doubles</t>
  </si>
  <si>
    <t>Nationale</t>
  </si>
  <si>
    <t>Fonds mondial</t>
  </si>
  <si>
    <t>Total des doubles tests</t>
  </si>
  <si>
    <t>Total des tests triples</t>
  </si>
  <si>
    <t>BPG (femmes enceintes)</t>
  </si>
  <si>
    <t>BPG pour les femmes enceintes (total)</t>
  </si>
  <si>
    <t>BPG (Autres populations)</t>
  </si>
  <si>
    <t>BPG pour les autres populations (total)</t>
  </si>
  <si>
    <t>ANALYSE DE LA COUVERTURE ET DES LACUNES</t>
  </si>
  <si>
    <t>Nombre de trousses nécessaires (couverture totale)</t>
  </si>
  <si>
    <t>Financement disponible</t>
  </si>
  <si>
    <t>Paquets abordables</t>
  </si>
  <si>
    <t>Écart en termes de produits</t>
  </si>
  <si>
    <t>Femmes / Autres populations couvertes</t>
  </si>
  <si>
    <t>Besoin de couverture complète</t>
  </si>
  <si>
    <t>Écart de couverture (nb)</t>
  </si>
  <si>
    <t>Écart de couverture (%)</t>
  </si>
  <si>
    <t>Tests triples</t>
  </si>
  <si>
    <t>IMPACT ESTIMÉ DES PRODUITS FINANCÉS POUR LA SYPHILIS</t>
  </si>
  <si>
    <t>Remarque : les estimations d'impact s'appliquent au traitement financé par le BPG des femmes séropositives pour la syphilis et des individus des autres populations. Le financement des tests doubles et triples permet le dépistage ; l'impact sur les issues défavorables de la grossesse dépend du traitement BPG ultérieur. La colonne B indique l'impact estimé en cas de financement intégral, sur la base des besoins quantifiés de la population. La colonne C indique l'impact estimé sur la base du financement disponible saisi ci-dessus.</t>
  </si>
  <si>
    <t>Résultat</t>
  </si>
  <si>
    <t>Estimation des cas évités 
(financement intégral)</t>
  </si>
  <si>
    <t>Cas évités estimés 
(financement disponible)</t>
  </si>
  <si>
    <t>Base</t>
  </si>
  <si>
    <t>Mort-nés évités</t>
  </si>
  <si>
    <t>Décès néonatals évités</t>
  </si>
  <si>
    <t>Cas de syphilis congénitale évités</t>
  </si>
  <si>
    <t>Naissances prématurées évitées</t>
  </si>
  <si>
    <t>AVCI évitées (décès néonatals)</t>
  </si>
  <si>
    <t>AVCI évitées (morbidité liée à la syphilis congénitale)</t>
  </si>
  <si>
    <t>AVCI évitées (autres populations)</t>
  </si>
  <si>
    <t>Total des AVCI évitées</t>
  </si>
  <si>
    <t>Femmes enceintes séropositives pour la syphilis traitées × taux de mortinatalité de 25 % × réduction de 82 % du BPG</t>
  </si>
  <si>
    <t>Femmes enceintes séropositives pour la syphilis traitées × 75 % de taux de naissances vivantes × 15 % de taux de mortalité néonatale × 80 % de réduction du BPG</t>
  </si>
  <si>
    <t>Femmes séropositives pour la syphilis traitées en soins prénatals × taux de naissances vivantes de 75 % × taux de césariennes de 31 % × réduction de 97 % de la BPG</t>
  </si>
  <si>
    <t>Femmes séropositives pour la syphilis suivies en consultation prénatale × 75 % de taux de naissances vivantes × 35 % de taux de naissances prématurées × 64 % de réduction du BPG</t>
  </si>
  <si>
    <t>Décès néonatals évités × espérance de vie à la naissance</t>
  </si>
  <si>
    <t>Cas de syphilis congénitale évités × pondération de l'invalidité 0,203 × 20 ans</t>
  </si>
  <si>
    <t>Individus traités dans les autres populations × pondération de l'invalidité 0,523 × durée de 5 ans.</t>
  </si>
  <si>
    <t>Somme des AVCI évités grâce à la prévention des décès néonatals, de la morbidité liée à la syphilis congénitale et de la morbidité liée à la syphilis dans les autres populations</t>
  </si>
  <si>
    <t>PARAMÈTRES D'IMPACT POUR LA SYPHILIS</t>
  </si>
  <si>
    <t>Remarque : valeurs par défaut tirées de Blencowe et al. 2011 et GBD 2023. Ajuster les valeurs si des données spécifiques au pays sont disponibles.</t>
  </si>
  <si>
    <t>Paramètre</t>
  </si>
  <si>
    <t>Valeur</t>
  </si>
  <si>
    <t>Taux de mortinatalité dans les grossesses touchées par la syphilis non traitée (%)</t>
  </si>
  <si>
    <t>Réduction du taux de mortinatalité selon les lignes directrices (BPG) (%)</t>
  </si>
  <si>
    <t>Taux de mortalité néonatale chez les nouveau-nés nés vivants de grossesses touchées par la syphilis (%)</t>
  </si>
  <si>
    <t>Réduction de la mortalité néonatale grâce au BPG (%)</t>
  </si>
  <si>
    <t>Taux de syphilis congénitale chez les femmes enceintes atteintes de syphilis (%)</t>
  </si>
  <si>
    <t>Réduction de la syphilis congénitale selon les BPG (%)</t>
  </si>
  <si>
    <t>Taux de naissances prématurées chez les femmes enceintes atteintes de syphilis (%)</t>
  </si>
  <si>
    <t>Réduction de la mortalité néonatale due à la syphilis congénitale (%)</t>
  </si>
  <si>
    <t>Poids de l'invalidité, syphilis congénitale symptomatique</t>
  </si>
  <si>
    <t>Poids de l'invalidité, syphilis précoce chez l'adulte</t>
  </si>
  <si>
    <t>Poids de l'invalidité, syphilis tertiaire chez l'adulte</t>
  </si>
  <si>
    <t>Années de vie perdues (AVP) par décès néonatal évité (années)</t>
  </si>
  <si>
    <t>YLD par cas de syphilis congénitale évité (années)</t>
  </si>
  <si>
    <t>Source : Blencowe et al. 2011</t>
  </si>
  <si>
    <t>Source : GBD 2023 (IHME GHDx), séquelles de la neurosyphilis symptomatique tardive</t>
  </si>
  <si>
    <t>Source : GBD 2023 (IHME GHDx), infection syphilitique précoce légère</t>
  </si>
  <si>
    <t>Source : GBD 2023 (IHME GHDx), séquelles combinées de défiguration grave et de troubles neurologiques</t>
  </si>
  <si>
    <t>Source : méthodologie DALY de l'OMS/Banque mondiale. Dérivée d'une table de mortalité standard avec un taux d'actualisation de 3 %. Conforme aux méthodes de l'étude GBD.</t>
  </si>
  <si>
    <t>Source : Poids d'invalidité GBD 2023 (IHME GHDx) appliqués aux séquelles de la syphilis congénitale avec actualisation standard. Réseau collaboratif sur la charge mondiale de morbidité, 2025.</t>
  </si>
  <si>
    <t>FICHE DE QUANTIFICATION</t>
  </si>
  <si>
    <t>QUANTIFICATION TOTALE EN UNITÉS</t>
  </si>
  <si>
    <t>Tests doubles 
(Total sur 3 ans)</t>
  </si>
  <si>
    <t>Tests HBsAg 
(total sur 3 ans)</t>
  </si>
  <si>
    <t>Triple tests 
(Total sur 3 ans)</t>
  </si>
  <si>
    <t>Doses de BPG 
(total sur 3 ans)</t>
  </si>
  <si>
    <t>Doses de TDF 
(total sur 3 ans)</t>
  </si>
  <si>
    <t>Femmes enceintes</t>
  </si>
  <si>
    <t>QUANTIFICATION TOTALE PAR PACK</t>
  </si>
  <si>
    <t>Les totaux par paquet sont arrondis au paquet entier supérieur. Tous les calculs budgétaires utilisent les chiffres par paquet.</t>
  </si>
  <si>
    <t>Boîtes de tests doubles
(Total sur 3 ans)</t>
  </si>
  <si>
    <t>Kits de test HBsAg 
(total sur 3 ans)</t>
  </si>
  <si>
    <t>Boîtes de tests triples 
(total sur 3 ans)</t>
  </si>
  <si>
    <t>Packs BPG 
(Total sur 3 ans)</t>
  </si>
  <si>
    <t>Boîtes de TDF 
(total sur 3 ans)</t>
  </si>
  <si>
    <t>TOTAL SUR 3 ANS</t>
  </si>
  <si>
    <t>QUANTIFICATION TOTALE PAR FRÉQUENCE D'ACHAT</t>
  </si>
  <si>
    <t>TABLEAU 1 : QUANTIFICATION DU DOUBLE TEST - FEMMES ENCEINTES</t>
  </si>
  <si>
    <t>ACHATS ANNUELS</t>
  </si>
  <si>
    <t>Période</t>
  </si>
  <si>
    <t>Année</t>
  </si>
  <si>
    <t>Nombre de femmes enceintes (PW)</t>
  </si>
  <si>
    <t>Couverture de dépistage cible (%)</t>
  </si>
  <si>
    <t>Tests chez les femmes enceintes</t>
  </si>
  <si>
    <t>Tests effectués sur les partenaires</t>
  </si>
  <si>
    <t>Sous-total (unités)</t>
  </si>
  <si>
    <t>Stock tampon (unités)</t>
  </si>
  <si>
    <t>Gaspillage (unités)</t>
  </si>
  <si>
    <t>Nombre total d'unités</t>
  </si>
  <si>
    <t>Taille du paquet</t>
  </si>
  <si>
    <t>Nombre total de paquets</t>
  </si>
  <si>
    <t>ACHATS SEMESTRIELS</t>
  </si>
  <si>
    <t>ACHATS TRIMESTRIELS</t>
  </si>
  <si>
    <t>TABLEAU 2 : QUANTIFICATION DU TEST HBsAg - FEMMES ENCEINTES</t>
  </si>
  <si>
    <t>TABLEAU 3 : QUANTIFICATION DU TRIPLE TEST - FEMMES ENCEINTES</t>
  </si>
  <si>
    <t>TABLEAU 4 : QUANTIFICATION DU BPG - FEMMES ENCEINTES</t>
  </si>
  <si>
    <t>Femmes enceintes (FE) dépistées (nb)</t>
  </si>
  <si>
    <t>Résultats positifs attendus</t>
  </si>
  <si>
    <t>Couverture du traitement (%)</t>
  </si>
  <si>
    <t>Doses pour les femmes enceintes</t>
  </si>
  <si>
    <t>Doses pour les partenaires</t>
  </si>
  <si>
    <t>TABLEAU 5 : QUANTIFICATION DU TDF - FEMMES ENCEINTES</t>
  </si>
  <si>
    <t>Femmes enceintes Bouteilles</t>
  </si>
  <si>
    <t>Flacons pour les partenaires</t>
  </si>
  <si>
    <t>Nombre de mois d'approvisionnement</t>
  </si>
  <si>
    <t xml:space="preserve">AUTRES POPULATIONS </t>
  </si>
  <si>
    <t>Tableaux de quantification des produits pour les autres populations ci-dessous. Si d'autres populations ne sont pas incluses, les tableaux seront vides.</t>
  </si>
  <si>
    <t>AUTRES FRÉQUENCES DE POPULATION</t>
  </si>
  <si>
    <t>Fréquence du double test</t>
  </si>
  <si>
    <t>Fréquence des tests HBsAg</t>
  </si>
  <si>
    <t>Fréquence de test triple</t>
  </si>
  <si>
    <t>Fréquence BPG</t>
  </si>
  <si>
    <t>Fréquence du TDF</t>
  </si>
  <si>
    <t xml:space="preserve">TABLEAU 6 : QUANTIFICATION DU TEST DUAL - AUTRES POPULATIONS </t>
  </si>
  <si>
    <t>Autres populations (nb)</t>
  </si>
  <si>
    <t>Autres tests de population</t>
  </si>
  <si>
    <t>TABLEAU 7 : QUANTIFICATION DU TEST HBsAg - AUTRES POPULATIONS</t>
  </si>
  <si>
    <t>TABLEAU 8 : QUANTIFICATION DU TRIPLE TEST - AUTRES POPULATIONS</t>
  </si>
  <si>
    <t xml:space="preserve">TABLEAU 9 : QUANTIFICATION DU BPG - AUTRES POPULATIONS </t>
  </si>
  <si>
    <t>Autres populations dépistées (nb)</t>
  </si>
  <si>
    <t>Autres doses pour la population</t>
  </si>
  <si>
    <t>TABLEAU 10 : QUANTIFICATION DU TDF - AUTRES POPULATIONS</t>
  </si>
  <si>
    <t>Flacons pour autres populations</t>
  </si>
  <si>
    <t xml:space="preserve">Mois d'approvisionnement </t>
  </si>
  <si>
    <t>RÉPARTITION DU BUDGET</t>
  </si>
  <si>
    <t>Devise:</t>
  </si>
  <si>
    <t>Pays:</t>
  </si>
  <si>
    <t>BUDGET TOTAL</t>
  </si>
  <si>
    <t>Budget du test double ()</t>
  </si>
  <si>
    <t>Budget du test HBsAg ()</t>
  </si>
  <si>
    <t>Budget du test triple ()</t>
  </si>
  <si>
    <t>Budget BPG ()</t>
  </si>
  <si>
    <t>Budget TDF ()</t>
  </si>
  <si>
    <t>Tests HBsAg</t>
  </si>
  <si>
    <t>Nombre de boîtes</t>
  </si>
  <si>
    <t>RÉFÉRENCE DU COÛT DÉBOUCHÉ</t>
  </si>
  <si>
    <t>RÉSUMÉ DU BUDGET PAR PRODUIT</t>
  </si>
  <si>
    <t>ACHATS ANNUELS:</t>
  </si>
  <si>
    <t>ACHATS TRIMESTRIELS:</t>
  </si>
  <si>
    <t>RÉSUMÉ DU BUDGET PAR FRÉQUENCE D'ACHAT</t>
  </si>
  <si>
    <t>TABLEAU 1 : BUDGET DU DOUBLE TEST - FEMMES ENCEINTES</t>
  </si>
  <si>
    <t>TABLEAU 2 : BUDGET HBsAg - FEMMES ENCEINTES</t>
  </si>
  <si>
    <t>TABLEAU 3 : BUDGET DU TRIPLE TEST - FEMMES ENCEINTES</t>
  </si>
  <si>
    <t>TABLEAU 4 : BUDGET BPG - FEMMES ENCEINTES</t>
  </si>
  <si>
    <t>TABLEAU 5 : BUDGET TDF - FEMMES ENCEINTES</t>
  </si>
  <si>
    <t>TABLEAU 6 : BUDGET DU TEST DUAL - AUTRES POPULATIONS</t>
  </si>
  <si>
    <t>TABLEAU 7 : BUDGET HBsAg - AUTRES POPULATIONS</t>
  </si>
  <si>
    <t>TABLEAU 8 : BUDGET DU TRIPLE TEST - AUTRES POPULATIONS</t>
  </si>
  <si>
    <t>TABLEAU 9 : BUDGET BPG - AUTRES POPULATIONS</t>
  </si>
  <si>
    <t>TABLEAU 10 : BUDGET TDF - AUTRES POPULATIONS</t>
  </si>
  <si>
    <t>AUTRES POPULATIONS</t>
  </si>
  <si>
    <t>Tableaux budgétaires des produits de base pour les autres populations ci-dessous. Si les autres populations ne sont pas incluses, les tableaux seront vides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</si>
</sst>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
    <numFmt numFmtId="167" formatCode="_(&quot;$&quot;* #,##0_);_(&quot;$&quot;* \(#,##0\);_(&quot;$&quot;* &quot;-&quot;??_);_(@_)"/>
    <numFmt numFmtId="168" formatCode="0.000"/>
  </numFmts>
  <fonts count="36" x14ac:knownFonts="1">
    <font>
      <sz val="11"/>
      <color theme="1"/>
      <name val="Aptos Narrow"/>
      <family val="2"/>
      <scheme val="minor"/>
    </font>
    <font>
      <b/>
      <sz val="11"/>
      <color theme="1"/>
      <name val="Aptos Narrow"/>
      <family val="2"/>
      <scheme val="minor"/>
    </font>
    <font>
      <sz val="11"/>
      <color theme="1"/>
      <name val="Aptos Narrow"/>
      <family val="2"/>
      <scheme val="minor"/>
    </font>
    <font>
      <u/>
      <sz val="11"/>
      <color theme="10"/>
      <name val="Aptos Narrow"/>
      <family val="2"/>
      <scheme val="minor"/>
    </font>
    <font>
      <b/>
      <sz val="14"/>
      <color theme="0"/>
      <name val="Aptos Narrow"/>
      <family val="2"/>
      <scheme val="minor"/>
    </font>
    <font>
      <b/>
      <sz val="12"/>
      <color theme="1"/>
      <name val="Aptos Narrow"/>
      <family val="2"/>
      <scheme val="minor"/>
    </font>
    <font>
      <sz val="11"/>
      <name val="Aptos Narrow"/>
      <family val="2"/>
      <scheme val="minor"/>
    </font>
    <font>
      <i/>
      <sz val="9"/>
      <color theme="1" tint="0.499984740745262"/>
      <name val="Aptos Narrow"/>
      <family val="2"/>
      <scheme val="minor"/>
    </font>
    <font>
      <b/>
      <sz val="11"/>
      <color theme="0"/>
      <name val="Aptos Narrow"/>
      <family val="2"/>
      <scheme val="minor"/>
    </font>
    <font>
      <sz val="10"/>
      <color theme="1"/>
      <name val="Aptos Narrow"/>
      <family val="2"/>
      <scheme val="minor"/>
    </font>
    <font>
      <b/>
      <sz val="11"/>
      <color theme="3" tint="0.249977111117893"/>
      <name val="Aptos Narrow"/>
      <family val="2"/>
      <scheme val="minor"/>
    </font>
    <font>
      <b/>
      <sz val="12"/>
      <color theme="0"/>
      <name val="Aptos Narrow"/>
      <family val="2"/>
      <scheme val="minor"/>
    </font>
    <font>
      <b/>
      <sz val="11"/>
      <name val="Aptos Narrow"/>
      <family val="2"/>
      <scheme val="minor"/>
    </font>
    <font>
      <b/>
      <sz val="12"/>
      <name val="Aptos Narrow"/>
      <family val="2"/>
      <scheme val="minor"/>
    </font>
    <font>
      <b/>
      <sz val="14"/>
      <color theme="1"/>
      <name val="Aptos Narrow"/>
      <family val="2"/>
      <scheme val="minor"/>
    </font>
    <font>
      <b/>
      <sz val="16"/>
      <color theme="0"/>
      <name val="Aptos Narrow"/>
      <family val="2"/>
      <scheme val="minor"/>
    </font>
    <font>
      <sz val="12"/>
      <color theme="1"/>
      <name val="Aptos Narrow"/>
      <family val="2"/>
      <scheme val="minor"/>
    </font>
    <font>
      <i/>
      <sz val="11"/>
      <color theme="1"/>
      <name val="Aptos Narrow"/>
      <family val="2"/>
      <scheme val="minor"/>
    </font>
    <font>
      <sz val="12"/>
      <color theme="0"/>
      <name val="Aptos Narrow"/>
      <family val="2"/>
      <scheme val="minor"/>
    </font>
    <font>
      <b/>
      <i/>
      <sz val="9"/>
      <color theme="1"/>
      <name val="Aptos Narrow"/>
      <family val="2"/>
      <scheme val="minor"/>
    </font>
    <font>
      <i/>
      <sz val="10"/>
      <color theme="1"/>
      <name val="Aptos Narrow"/>
      <family val="2"/>
      <scheme val="minor"/>
    </font>
    <font>
      <sz val="11"/>
      <color theme="0"/>
      <name val="Aptos Narrow"/>
      <family val="2"/>
      <scheme val="minor"/>
    </font>
    <font>
      <i/>
      <sz val="9"/>
      <color theme="1"/>
      <name val="Aptos Narrow"/>
      <family val="2"/>
      <scheme val="minor"/>
    </font>
    <font>
      <b/>
      <i/>
      <sz val="9"/>
      <color theme="1" tint="0.499984740745262"/>
      <name val="Aptos Narrow"/>
      <family val="2"/>
      <scheme val="minor"/>
    </font>
    <font>
      <sz val="11"/>
      <color theme="1" tint="0.499984740745262"/>
      <name val="Aptos Narrow"/>
      <family val="2"/>
      <scheme val="minor"/>
    </font>
    <font>
      <b/>
      <sz val="11"/>
      <color rgb="FF215C98"/>
      <name val="Aptos Narrow"/>
      <family val="2"/>
      <scheme val="minor"/>
    </font>
    <font>
      <sz val="11"/>
      <color rgb="FFFF0000"/>
      <name val="Aptos Narrow"/>
      <family val="2"/>
      <scheme val="minor"/>
    </font>
    <font>
      <sz val="9"/>
      <color indexed="81"/>
      <name val="Tahoma"/>
      <family val="2"/>
    </font>
    <font>
      <b/>
      <sz val="9"/>
      <color indexed="81"/>
      <name val="Tahoma"/>
      <family val="2"/>
    </font>
    <font>
      <b/>
      <sz val="11"/>
      <color rgb="FFFF0000"/>
      <name val="Aptos Narrow"/>
      <family val="2"/>
      <scheme val="minor"/>
    </font>
    <font>
      <sz val="12"/>
      <color rgb="FFFF0000"/>
      <name val="Aptos Narrow"/>
      <family val="2"/>
      <scheme val="minor"/>
    </font>
    <font>
      <sz val="12"/>
      <name val="Aptos Narrow"/>
      <family val="2"/>
      <scheme val="minor"/>
    </font>
    <font>
      <b/>
      <sz val="14"/>
      <color rgb="FFC00000"/>
      <name val="Aptos Narrow"/>
      <family val="2"/>
      <scheme val="minor"/>
    </font>
    <font>
      <i/>
      <sz val="11"/>
      <name val="Aptos Narrow"/>
      <family val="2"/>
      <scheme val="minor"/>
    </font>
    <font>
      <i/>
      <sz val="10"/>
      <color theme="2" tint="-0.749992370372631"/>
      <name val="Aptos Narrow"/>
      <family val="2"/>
      <scheme val="minor"/>
    </font>
    <font>
      <b/>
      <i/>
      <sz val="11"/>
      <color theme="1"/>
      <name val="Aptos Narrow"/>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theme="3"/>
        <bgColor indexed="64"/>
      </patternFill>
    </fill>
    <fill>
      <patternFill patternType="solid">
        <fgColor theme="3" tint="0.89999084444715716"/>
        <bgColor indexed="64"/>
      </patternFill>
    </fill>
    <fill>
      <patternFill patternType="solid">
        <fgColor rgb="FFFFFFCC"/>
        <bgColor indexed="64"/>
      </patternFill>
    </fill>
    <fill>
      <patternFill patternType="solid">
        <fgColor theme="2"/>
        <bgColor indexed="64"/>
      </patternFill>
    </fill>
    <fill>
      <patternFill patternType="solid">
        <fgColor rgb="FF990000"/>
        <bgColor indexed="64"/>
      </patternFill>
    </fill>
    <fill>
      <patternFill patternType="solid">
        <fgColor theme="0"/>
        <bgColor indexed="64"/>
      </patternFill>
    </fill>
    <fill>
      <patternFill patternType="solid">
        <fgColor theme="6" tint="-0.499984740745262"/>
        <bgColor indexed="64"/>
      </patternFill>
    </fill>
    <fill>
      <patternFill patternType="solid">
        <fgColor theme="2" tint="-0.749992370372631"/>
        <bgColor indexed="64"/>
      </patternFill>
    </fill>
    <fill>
      <patternFill patternType="solid">
        <fgColor theme="9" tint="0.79998168889431442"/>
        <bgColor indexed="64"/>
      </patternFill>
    </fill>
    <fill>
      <patternFill patternType="solid">
        <fgColor theme="3" tint="0.749992370372631"/>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s>
  <cellStyleXfs count="5">
    <xf numFmtId="0" fontId="0" fillId="0" borderId="0"/>
    <xf numFmtId="43" fontId="2" fillId="0" borderId="0" applyFont="0" applyFill="0" applyBorder="0" applyAlignment="0" applyProtection="0"/>
    <xf numFmtId="0" fontId="3"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07">
    <xf numFmtId="0" fontId="0" fillId="0" borderId="0" xfId="0"/>
    <xf numFmtId="0" fontId="1" fillId="2" borderId="0" xfId="0" applyFont="1" applyFill="1"/>
    <xf numFmtId="0" fontId="1" fillId="0" borderId="0" xfId="0" applyFont="1"/>
    <xf numFmtId="0" fontId="3" fillId="0" borderId="0" xfId="2"/>
    <xf numFmtId="0" fontId="0" fillId="2" borderId="0" xfId="0" applyFill="1"/>
    <xf numFmtId="0" fontId="5" fillId="4" borderId="0" xfId="0" applyFont="1" applyFill="1"/>
    <xf numFmtId="0" fontId="7" fillId="0" borderId="0" xfId="0" applyFont="1"/>
    <xf numFmtId="0" fontId="9" fillId="0" borderId="0" xfId="0" applyFont="1" applyAlignment="1">
      <alignment vertical="center" wrapText="1"/>
    </xf>
    <xf numFmtId="0" fontId="9" fillId="0" borderId="0" xfId="0" applyFont="1" applyAlignment="1">
      <alignment horizontal="left" vertical="center"/>
    </xf>
    <xf numFmtId="0" fontId="6" fillId="0" borderId="0" xfId="0" applyFont="1"/>
    <xf numFmtId="0" fontId="8" fillId="0" borderId="0" xfId="0" applyFont="1"/>
    <xf numFmtId="0" fontId="11" fillId="9" borderId="0" xfId="0" applyFont="1" applyFill="1" applyAlignment="1">
      <alignment vertical="center"/>
    </xf>
    <xf numFmtId="0" fontId="13" fillId="0" borderId="0" xfId="0" applyFont="1" applyAlignment="1">
      <alignment vertical="center"/>
    </xf>
    <xf numFmtId="0" fontId="0" fillId="0" borderId="1" xfId="0" applyBorder="1"/>
    <xf numFmtId="3" fontId="0" fillId="0" borderId="1" xfId="0" applyNumberFormat="1" applyBorder="1"/>
    <xf numFmtId="0" fontId="5" fillId="4" borderId="0" xfId="0" applyFont="1" applyFill="1" applyProtection="1">
      <protection locked="0"/>
    </xf>
    <xf numFmtId="0" fontId="6" fillId="5" borderId="1" xfId="0" applyFont="1" applyFill="1" applyBorder="1" applyProtection="1">
      <protection locked="0"/>
    </xf>
    <xf numFmtId="0" fontId="6" fillId="8" borderId="1" xfId="0" applyFont="1" applyFill="1" applyBorder="1" applyProtection="1">
      <protection locked="0"/>
    </xf>
    <xf numFmtId="0" fontId="0" fillId="5" borderId="1" xfId="0" applyFill="1" applyBorder="1" applyProtection="1">
      <protection locked="0"/>
    </xf>
    <xf numFmtId="0" fontId="0" fillId="0" borderId="1" xfId="0" applyBorder="1" applyProtection="1">
      <protection locked="0"/>
    </xf>
    <xf numFmtId="0" fontId="11" fillId="3" borderId="1" xfId="0" applyFont="1" applyFill="1" applyBorder="1"/>
    <xf numFmtId="164" fontId="0" fillId="0" borderId="1" xfId="1" applyNumberFormat="1" applyFont="1" applyBorder="1"/>
    <xf numFmtId="44" fontId="0" fillId="0" borderId="1" xfId="3" applyFont="1" applyBorder="1"/>
    <xf numFmtId="0" fontId="0" fillId="0" borderId="0" xfId="0" applyAlignment="1">
      <alignment vertical="center"/>
    </xf>
    <xf numFmtId="0" fontId="1" fillId="2" borderId="1" xfId="0" applyFont="1" applyFill="1" applyBorder="1"/>
    <xf numFmtId="0" fontId="0" fillId="0" borderId="0" xfId="0" applyAlignment="1">
      <alignment wrapText="1"/>
    </xf>
    <xf numFmtId="0" fontId="0" fillId="0" borderId="1" xfId="0" applyBorder="1" applyAlignment="1">
      <alignment vertical="center"/>
    </xf>
    <xf numFmtId="10" fontId="0" fillId="0" borderId="1" xfId="4" applyNumberFormat="1" applyFont="1" applyBorder="1"/>
    <xf numFmtId="165" fontId="0" fillId="0" borderId="1" xfId="4" applyNumberFormat="1" applyFont="1" applyBorder="1"/>
    <xf numFmtId="0" fontId="15" fillId="0" borderId="0" xfId="0" applyFont="1" applyAlignment="1">
      <alignment vertical="center"/>
    </xf>
    <xf numFmtId="0" fontId="14" fillId="0" borderId="0" xfId="0" applyFont="1"/>
    <xf numFmtId="0" fontId="1" fillId="0" borderId="0" xfId="0" applyFont="1" applyAlignment="1">
      <alignment vertical="center"/>
    </xf>
    <xf numFmtId="0" fontId="16" fillId="0" borderId="0" xfId="0" applyFont="1" applyAlignment="1">
      <alignment vertical="center"/>
    </xf>
    <xf numFmtId="3" fontId="0" fillId="0" borderId="1" xfId="0" applyNumberFormat="1" applyBorder="1" applyAlignment="1">
      <alignment vertical="center"/>
    </xf>
    <xf numFmtId="0" fontId="14" fillId="0" borderId="0" xfId="0" applyFont="1" applyAlignment="1">
      <alignment vertical="center"/>
    </xf>
    <xf numFmtId="0" fontId="19" fillId="0" borderId="0" xfId="0" applyFont="1"/>
    <xf numFmtId="0" fontId="0" fillId="0" borderId="1" xfId="0" applyBorder="1" applyAlignment="1">
      <alignment horizontal="right"/>
    </xf>
    <xf numFmtId="166" fontId="0" fillId="5" borderId="1" xfId="4" applyNumberFormat="1" applyFont="1" applyFill="1" applyBorder="1" applyProtection="1">
      <protection locked="0"/>
    </xf>
    <xf numFmtId="164" fontId="6" fillId="5" borderId="1" xfId="1" applyNumberFormat="1" applyFont="1" applyFill="1" applyBorder="1" applyProtection="1">
      <protection locked="0"/>
    </xf>
    <xf numFmtId="0" fontId="6" fillId="0" borderId="1" xfId="0" applyFont="1" applyBorder="1" applyProtection="1">
      <protection locked="0"/>
    </xf>
    <xf numFmtId="1" fontId="0" fillId="5" borderId="1" xfId="4" applyNumberFormat="1" applyFont="1" applyFill="1" applyBorder="1" applyProtection="1">
      <protection locked="0"/>
    </xf>
    <xf numFmtId="0" fontId="11" fillId="3" borderId="4" xfId="0" applyFont="1" applyFill="1" applyBorder="1" applyAlignment="1">
      <alignment wrapText="1"/>
    </xf>
    <xf numFmtId="0" fontId="7" fillId="0" borderId="0" xfId="0" applyFont="1" applyAlignment="1">
      <alignment wrapText="1"/>
    </xf>
    <xf numFmtId="44" fontId="16" fillId="0" borderId="0" xfId="3" applyFont="1" applyBorder="1" applyAlignment="1">
      <alignment vertical="center"/>
    </xf>
    <xf numFmtId="0" fontId="5" fillId="0" borderId="0" xfId="0" applyFont="1"/>
    <xf numFmtId="164" fontId="6" fillId="0" borderId="1" xfId="1" applyNumberFormat="1" applyFont="1" applyFill="1" applyBorder="1" applyProtection="1">
      <protection locked="0"/>
    </xf>
    <xf numFmtId="0" fontId="16" fillId="0" borderId="0" xfId="0" applyFont="1"/>
    <xf numFmtId="0" fontId="16" fillId="0" borderId="1" xfId="0" applyFont="1" applyBorder="1"/>
    <xf numFmtId="3" fontId="0" fillId="0" borderId="0" xfId="0" applyNumberFormat="1"/>
    <xf numFmtId="44" fontId="0" fillId="0" borderId="0" xfId="3" applyFont="1" applyBorder="1"/>
    <xf numFmtId="167" fontId="0" fillId="0" borderId="0" xfId="3" applyNumberFormat="1" applyFont="1" applyBorder="1"/>
    <xf numFmtId="0" fontId="2" fillId="0" borderId="1" xfId="0" applyFont="1" applyBorder="1" applyAlignment="1">
      <alignment horizontal="right" vertical="center"/>
    </xf>
    <xf numFmtId="0" fontId="15" fillId="3" borderId="0" xfId="0" applyFont="1" applyFill="1" applyAlignment="1">
      <alignment vertical="center"/>
    </xf>
    <xf numFmtId="0" fontId="0" fillId="3" borderId="0" xfId="0" applyFill="1"/>
    <xf numFmtId="0" fontId="5" fillId="0" borderId="0" xfId="0" applyFont="1" applyProtection="1">
      <protection locked="0"/>
    </xf>
    <xf numFmtId="0" fontId="0" fillId="5" borderId="1" xfId="0" applyFill="1" applyBorder="1" applyAlignment="1">
      <alignment vertical="center"/>
    </xf>
    <xf numFmtId="0" fontId="1" fillId="0" borderId="7" xfId="0" applyFont="1" applyBorder="1" applyAlignment="1">
      <alignment vertical="center"/>
    </xf>
    <xf numFmtId="0" fontId="8" fillId="10" borderId="1" xfId="0" applyFont="1" applyFill="1" applyBorder="1" applyAlignment="1">
      <alignment horizontal="center" wrapText="1"/>
    </xf>
    <xf numFmtId="0" fontId="8" fillId="10" borderId="1" xfId="0" applyFont="1" applyFill="1" applyBorder="1" applyAlignment="1">
      <alignment horizontal="center"/>
    </xf>
    <xf numFmtId="0" fontId="8" fillId="10" borderId="6" xfId="0" applyFont="1" applyFill="1" applyBorder="1" applyAlignment="1">
      <alignment horizontal="center" vertical="center"/>
    </xf>
    <xf numFmtId="3" fontId="0" fillId="0" borderId="1" xfId="0" applyNumberFormat="1" applyBorder="1" applyProtection="1">
      <protection locked="0"/>
    </xf>
    <xf numFmtId="0" fontId="0" fillId="0" borderId="0" xfId="0" applyProtection="1">
      <protection locked="0"/>
    </xf>
    <xf numFmtId="44" fontId="1" fillId="0" borderId="1" xfId="3" applyFont="1" applyFill="1" applyBorder="1"/>
    <xf numFmtId="43" fontId="0" fillId="5" borderId="1" xfId="3" applyNumberFormat="1" applyFont="1" applyFill="1" applyBorder="1" applyProtection="1">
      <protection locked="0"/>
    </xf>
    <xf numFmtId="41" fontId="2" fillId="0" borderId="0" xfId="3" applyNumberFormat="1" applyFont="1"/>
    <xf numFmtId="41" fontId="2" fillId="0" borderId="1" xfId="3" applyNumberFormat="1" applyFont="1" applyBorder="1" applyAlignment="1">
      <alignment vertical="center"/>
    </xf>
    <xf numFmtId="41" fontId="16" fillId="0" borderId="2" xfId="3" applyNumberFormat="1" applyFont="1" applyBorder="1" applyAlignment="1"/>
    <xf numFmtId="41" fontId="16" fillId="0" borderId="1" xfId="3" applyNumberFormat="1" applyFont="1" applyBorder="1" applyAlignment="1"/>
    <xf numFmtId="43" fontId="0" fillId="0" borderId="1" xfId="3" applyNumberFormat="1" applyFont="1" applyBorder="1"/>
    <xf numFmtId="41" fontId="0" fillId="0" borderId="1" xfId="3" applyNumberFormat="1" applyFont="1" applyBorder="1"/>
    <xf numFmtId="41" fontId="0" fillId="0" borderId="1" xfId="0" applyNumberFormat="1" applyBorder="1"/>
    <xf numFmtId="41" fontId="11" fillId="3" borderId="1" xfId="3" applyNumberFormat="1" applyFont="1" applyFill="1" applyBorder="1"/>
    <xf numFmtId="0" fontId="6" fillId="5" borderId="1" xfId="4" applyNumberFormat="1" applyFont="1" applyFill="1" applyBorder="1" applyProtection="1">
      <protection locked="0"/>
    </xf>
    <xf numFmtId="166" fontId="0" fillId="0" borderId="0" xfId="4" applyNumberFormat="1" applyFont="1" applyFill="1" applyBorder="1" applyProtection="1">
      <protection locked="0"/>
    </xf>
    <xf numFmtId="43" fontId="0" fillId="0" borderId="1" xfId="3" applyNumberFormat="1" applyFont="1" applyFill="1" applyBorder="1" applyProtection="1">
      <protection locked="0"/>
    </xf>
    <xf numFmtId="1" fontId="0" fillId="0" borderId="1" xfId="4" applyNumberFormat="1" applyFont="1" applyFill="1" applyBorder="1" applyProtection="1">
      <protection locked="0"/>
    </xf>
    <xf numFmtId="166" fontId="0" fillId="0" borderId="1" xfId="4" applyNumberFormat="1" applyFont="1" applyFill="1" applyBorder="1" applyProtection="1">
      <protection locked="0"/>
    </xf>
    <xf numFmtId="1" fontId="0" fillId="0" borderId="1" xfId="3" applyNumberFormat="1" applyFont="1" applyFill="1" applyBorder="1" applyProtection="1">
      <protection locked="0"/>
    </xf>
    <xf numFmtId="1" fontId="0" fillId="5" borderId="1" xfId="3" applyNumberFormat="1" applyFont="1" applyFill="1" applyBorder="1" applyProtection="1">
      <protection locked="0"/>
    </xf>
    <xf numFmtId="0" fontId="11" fillId="0" borderId="0" xfId="0" applyFont="1"/>
    <xf numFmtId="3" fontId="11" fillId="0" borderId="0" xfId="0" applyNumberFormat="1" applyFont="1"/>
    <xf numFmtId="166" fontId="0" fillId="0" borderId="1" xfId="4" applyNumberFormat="1" applyFont="1" applyFill="1" applyBorder="1" applyProtection="1"/>
    <xf numFmtId="0" fontId="11" fillId="0" borderId="0" xfId="0" applyFont="1" applyAlignment="1">
      <alignment vertical="center"/>
    </xf>
    <xf numFmtId="0" fontId="13" fillId="11" borderId="0" xfId="0" applyFont="1" applyFill="1" applyAlignment="1">
      <alignment vertical="center"/>
    </xf>
    <xf numFmtId="0" fontId="11" fillId="11" borderId="0" xfId="0" applyFont="1" applyFill="1" applyAlignment="1">
      <alignment vertical="center"/>
    </xf>
    <xf numFmtId="0" fontId="13" fillId="11" borderId="0" xfId="0" applyFont="1" applyFill="1"/>
    <xf numFmtId="0" fontId="11" fillId="3" borderId="8" xfId="0" applyFont="1" applyFill="1" applyBorder="1"/>
    <xf numFmtId="3" fontId="11" fillId="3" borderId="8" xfId="0" applyNumberFormat="1" applyFont="1" applyFill="1" applyBorder="1"/>
    <xf numFmtId="0" fontId="8" fillId="3" borderId="8" xfId="0" applyFont="1" applyFill="1" applyBorder="1"/>
    <xf numFmtId="3" fontId="8" fillId="3" borderId="8" xfId="0" applyNumberFormat="1" applyFont="1" applyFill="1" applyBorder="1"/>
    <xf numFmtId="3" fontId="21" fillId="3" borderId="8" xfId="0" applyNumberFormat="1" applyFont="1" applyFill="1" applyBorder="1"/>
    <xf numFmtId="0" fontId="18" fillId="3" borderId="8" xfId="0" applyFont="1" applyFill="1" applyBorder="1"/>
    <xf numFmtId="0" fontId="18" fillId="0" borderId="0" xfId="0" applyFont="1"/>
    <xf numFmtId="0" fontId="6" fillId="0" borderId="1" xfId="0" applyFont="1" applyBorder="1"/>
    <xf numFmtId="3" fontId="6" fillId="0" borderId="1" xfId="0" applyNumberFormat="1" applyFont="1" applyBorder="1"/>
    <xf numFmtId="3" fontId="6" fillId="0" borderId="0" xfId="0" applyNumberFormat="1" applyFont="1"/>
    <xf numFmtId="0" fontId="21" fillId="0" borderId="0" xfId="0" applyFont="1"/>
    <xf numFmtId="0" fontId="24" fillId="0" borderId="0" xfId="0" applyFont="1"/>
    <xf numFmtId="3" fontId="24" fillId="0" borderId="0" xfId="0" applyNumberFormat="1" applyFont="1"/>
    <xf numFmtId="0" fontId="8" fillId="9" borderId="8" xfId="0" applyFont="1" applyFill="1" applyBorder="1"/>
    <xf numFmtId="3" fontId="8" fillId="9" borderId="8" xfId="0" applyNumberFormat="1" applyFont="1" applyFill="1" applyBorder="1"/>
    <xf numFmtId="3" fontId="21" fillId="9" borderId="8" xfId="0" applyNumberFormat="1" applyFont="1" applyFill="1" applyBorder="1"/>
    <xf numFmtId="0" fontId="12" fillId="2" borderId="1" xfId="0" applyFont="1" applyFill="1" applyBorder="1"/>
    <xf numFmtId="3" fontId="12" fillId="2" borderId="1" xfId="0" applyNumberFormat="1" applyFont="1" applyFill="1" applyBorder="1"/>
    <xf numFmtId="3" fontId="6" fillId="2" borderId="1" xfId="0" applyNumberFormat="1" applyFont="1" applyFill="1" applyBorder="1"/>
    <xf numFmtId="0" fontId="0" fillId="2" borderId="1" xfId="0" applyFill="1" applyBorder="1"/>
    <xf numFmtId="3" fontId="0" fillId="2" borderId="1" xfId="0" applyNumberFormat="1" applyFill="1" applyBorder="1"/>
    <xf numFmtId="3" fontId="1" fillId="2" borderId="1" xfId="0" applyNumberFormat="1" applyFont="1" applyFill="1" applyBorder="1"/>
    <xf numFmtId="0" fontId="11" fillId="3" borderId="2" xfId="0" applyFont="1" applyFill="1" applyBorder="1" applyAlignment="1">
      <alignment wrapText="1"/>
    </xf>
    <xf numFmtId="0" fontId="11" fillId="3" borderId="3" xfId="0" applyFont="1" applyFill="1" applyBorder="1" applyAlignment="1">
      <alignment wrapText="1"/>
    </xf>
    <xf numFmtId="0" fontId="0" fillId="6" borderId="0" xfId="0" applyFill="1"/>
    <xf numFmtId="0" fontId="0" fillId="6" borderId="1" xfId="0" applyFill="1" applyBorder="1"/>
    <xf numFmtId="166" fontId="0" fillId="0" borderId="0" xfId="4" applyNumberFormat="1" applyFont="1" applyFill="1" applyBorder="1" applyProtection="1"/>
    <xf numFmtId="0" fontId="0" fillId="0" borderId="10" xfId="0" applyBorder="1"/>
    <xf numFmtId="0" fontId="0" fillId="0" borderId="11" xfId="0" applyBorder="1"/>
    <xf numFmtId="0" fontId="0" fillId="0" borderId="13" xfId="0" applyBorder="1"/>
    <xf numFmtId="166" fontId="0" fillId="0" borderId="15" xfId="4" applyNumberFormat="1" applyFont="1" applyFill="1" applyBorder="1" applyProtection="1"/>
    <xf numFmtId="0" fontId="7" fillId="0" borderId="16" xfId="0" applyFont="1" applyBorder="1"/>
    <xf numFmtId="0" fontId="0" fillId="0" borderId="16" xfId="0" applyBorder="1"/>
    <xf numFmtId="0" fontId="0" fillId="0" borderId="17" xfId="0" applyBorder="1"/>
    <xf numFmtId="0" fontId="22" fillId="0" borderId="0" xfId="0" applyFont="1" applyAlignment="1">
      <alignment vertical="center" wrapText="1"/>
    </xf>
    <xf numFmtId="0" fontId="1" fillId="0" borderId="2" xfId="0" applyFont="1" applyBorder="1" applyAlignment="1">
      <alignment vertical="center"/>
    </xf>
    <xf numFmtId="44" fontId="1" fillId="0" borderId="0" xfId="3" applyFont="1" applyFill="1" applyBorder="1"/>
    <xf numFmtId="44" fontId="2" fillId="0" borderId="1" xfId="3" applyFont="1" applyFill="1" applyBorder="1"/>
    <xf numFmtId="0" fontId="1" fillId="11" borderId="0" xfId="0" applyFont="1" applyFill="1"/>
    <xf numFmtId="43" fontId="2" fillId="0" borderId="1" xfId="3" applyNumberFormat="1" applyFont="1" applyFill="1" applyBorder="1"/>
    <xf numFmtId="43" fontId="1" fillId="0" borderId="1" xfId="3" applyNumberFormat="1" applyFont="1" applyFill="1" applyBorder="1"/>
    <xf numFmtId="41" fontId="8" fillId="9" borderId="8" xfId="0" applyNumberFormat="1" applyFont="1" applyFill="1" applyBorder="1"/>
    <xf numFmtId="0" fontId="5" fillId="2" borderId="1" xfId="0" applyFont="1" applyFill="1" applyBorder="1"/>
    <xf numFmtId="41" fontId="5" fillId="2" borderId="1" xfId="0" applyNumberFormat="1" applyFont="1" applyFill="1" applyBorder="1"/>
    <xf numFmtId="41" fontId="11" fillId="0" borderId="0" xfId="3" applyNumberFormat="1" applyFont="1" applyFill="1" applyBorder="1" applyAlignment="1"/>
    <xf numFmtId="2" fontId="6" fillId="0" borderId="1" xfId="0" applyNumberFormat="1" applyFont="1" applyBorder="1"/>
    <xf numFmtId="2" fontId="6" fillId="0" borderId="1" xfId="3" applyNumberFormat="1" applyFont="1" applyFill="1" applyBorder="1" applyAlignment="1"/>
    <xf numFmtId="0" fontId="1" fillId="2" borderId="3" xfId="0" applyFont="1" applyFill="1" applyBorder="1"/>
    <xf numFmtId="41" fontId="1" fillId="2" borderId="1" xfId="3" applyNumberFormat="1" applyFont="1" applyFill="1" applyBorder="1"/>
    <xf numFmtId="0" fontId="11" fillId="3" borderId="0" xfId="0" applyFont="1" applyFill="1" applyAlignment="1">
      <alignment wrapText="1"/>
    </xf>
    <xf numFmtId="41" fontId="11" fillId="3" borderId="0" xfId="0" applyNumberFormat="1" applyFont="1" applyFill="1" applyAlignment="1">
      <alignment wrapText="1"/>
    </xf>
    <xf numFmtId="0" fontId="1" fillId="0" borderId="1" xfId="0" applyFont="1" applyBorder="1" applyAlignment="1">
      <alignment vertical="center"/>
    </xf>
    <xf numFmtId="0" fontId="1" fillId="2" borderId="2" xfId="0" applyFont="1" applyFill="1" applyBorder="1"/>
    <xf numFmtId="0" fontId="1" fillId="2" borderId="4" xfId="0" applyFont="1" applyFill="1" applyBorder="1"/>
    <xf numFmtId="41" fontId="0" fillId="0" borderId="0" xfId="0" applyNumberFormat="1"/>
    <xf numFmtId="0" fontId="11" fillId="9" borderId="8" xfId="0" applyFont="1" applyFill="1" applyBorder="1"/>
    <xf numFmtId="3" fontId="11" fillId="9" borderId="8" xfId="0" applyNumberFormat="1" applyFont="1" applyFill="1" applyBorder="1"/>
    <xf numFmtId="164" fontId="1" fillId="2" borderId="3" xfId="1" applyNumberFormat="1" applyFont="1" applyFill="1" applyBorder="1"/>
    <xf numFmtId="43" fontId="1" fillId="2" borderId="3" xfId="3" applyNumberFormat="1" applyFont="1" applyFill="1" applyBorder="1"/>
    <xf numFmtId="41" fontId="1" fillId="2" borderId="4" xfId="3" applyNumberFormat="1" applyFont="1" applyFill="1" applyBorder="1"/>
    <xf numFmtId="0" fontId="0" fillId="2" borderId="3" xfId="0" applyFill="1" applyBorder="1"/>
    <xf numFmtId="41" fontId="1" fillId="2" borderId="1" xfId="0" applyNumberFormat="1" applyFont="1" applyFill="1" applyBorder="1"/>
    <xf numFmtId="3" fontId="16" fillId="0" borderId="0" xfId="0" applyNumberFormat="1" applyFont="1" applyAlignment="1">
      <alignment vertical="center"/>
    </xf>
    <xf numFmtId="0" fontId="0" fillId="0" borderId="2" xfId="0" applyBorder="1"/>
    <xf numFmtId="164" fontId="11" fillId="3" borderId="1" xfId="3" applyNumberFormat="1" applyFont="1" applyFill="1" applyBorder="1" applyAlignment="1">
      <alignment vertical="center"/>
    </xf>
    <xf numFmtId="0" fontId="11" fillId="3" borderId="1" xfId="0" applyFont="1" applyFill="1" applyBorder="1" applyAlignment="1">
      <alignment vertical="center"/>
    </xf>
    <xf numFmtId="0" fontId="12" fillId="2" borderId="1" xfId="0" applyFont="1" applyFill="1" applyBorder="1" applyAlignment="1">
      <alignment vertical="center"/>
    </xf>
    <xf numFmtId="3" fontId="6" fillId="2" borderId="1" xfId="0" applyNumberFormat="1" applyFont="1" applyFill="1" applyBorder="1" applyAlignment="1">
      <alignment vertical="center"/>
    </xf>
    <xf numFmtId="3" fontId="16" fillId="0" borderId="4" xfId="0" applyNumberFormat="1" applyFont="1" applyBorder="1" applyAlignment="1">
      <alignment vertical="center"/>
    </xf>
    <xf numFmtId="41" fontId="16" fillId="0" borderId="4" xfId="0" applyNumberFormat="1" applyFont="1" applyBorder="1"/>
    <xf numFmtId="0" fontId="0" fillId="0" borderId="0" xfId="0" applyAlignment="1">
      <alignment horizontal="center"/>
    </xf>
    <xf numFmtId="0" fontId="0" fillId="0" borderId="2" xfId="0" applyBorder="1" applyAlignment="1">
      <alignment horizontal="center"/>
    </xf>
    <xf numFmtId="0" fontId="8" fillId="10" borderId="2" xfId="0" applyFont="1" applyFill="1" applyBorder="1" applyAlignment="1">
      <alignment horizontal="center" vertical="center"/>
    </xf>
    <xf numFmtId="164" fontId="0" fillId="0" borderId="4" xfId="3" applyNumberFormat="1" applyFont="1" applyBorder="1" applyAlignment="1">
      <alignment vertical="center"/>
    </xf>
    <xf numFmtId="3" fontId="0" fillId="0" borderId="2" xfId="0" applyNumberFormat="1" applyBorder="1" applyAlignment="1">
      <alignment horizontal="center" vertical="center"/>
    </xf>
    <xf numFmtId="3" fontId="6" fillId="2" borderId="2" xfId="0" applyNumberFormat="1" applyFont="1" applyFill="1" applyBorder="1" applyAlignment="1">
      <alignment horizontal="center" vertical="center"/>
    </xf>
    <xf numFmtId="41" fontId="0" fillId="0" borderId="0" xfId="3" applyNumberFormat="1" applyFont="1" applyBorder="1" applyProtection="1">
      <protection locked="0"/>
    </xf>
    <xf numFmtId="0" fontId="25" fillId="0" borderId="0" xfId="0" applyFont="1"/>
    <xf numFmtId="0" fontId="25" fillId="0" borderId="0" xfId="0" applyFont="1" applyAlignment="1">
      <alignment vertical="center"/>
    </xf>
    <xf numFmtId="0" fontId="21" fillId="12" borderId="0" xfId="0" applyFont="1" applyFill="1"/>
    <xf numFmtId="0" fontId="17" fillId="0" borderId="0" xfId="0" applyFont="1" applyAlignment="1">
      <alignment horizontal="right" wrapText="1"/>
    </xf>
    <xf numFmtId="0" fontId="0" fillId="0" borderId="12" xfId="0" applyBorder="1" applyAlignment="1">
      <alignment wrapText="1"/>
    </xf>
    <xf numFmtId="0" fontId="0" fillId="0" borderId="14" xfId="0" applyBorder="1" applyAlignment="1">
      <alignment wrapText="1"/>
    </xf>
    <xf numFmtId="0" fontId="25" fillId="0" borderId="0" xfId="0" applyFont="1" applyAlignment="1">
      <alignment wrapText="1"/>
    </xf>
    <xf numFmtId="0" fontId="10" fillId="0" borderId="0" xfId="0" applyFont="1" applyAlignment="1">
      <alignment wrapText="1"/>
    </xf>
    <xf numFmtId="0" fontId="0" fillId="0" borderId="0" xfId="0" applyAlignment="1">
      <alignment vertical="center" wrapText="1"/>
    </xf>
    <xf numFmtId="0" fontId="0" fillId="0" borderId="1" xfId="0" applyBorder="1" applyAlignment="1">
      <alignment wrapText="1"/>
    </xf>
    <xf numFmtId="0" fontId="0" fillId="2" borderId="2" xfId="0" applyFill="1" applyBorder="1"/>
    <xf numFmtId="0" fontId="21" fillId="3" borderId="0" xfId="0" applyFont="1" applyFill="1"/>
    <xf numFmtId="41" fontId="8" fillId="3" borderId="0" xfId="0" applyNumberFormat="1" applyFont="1" applyFill="1"/>
    <xf numFmtId="0" fontId="22" fillId="0" borderId="0" xfId="0" applyFont="1"/>
    <xf numFmtId="0" fontId="8" fillId="10" borderId="2" xfId="0" applyFont="1" applyFill="1" applyBorder="1" applyAlignment="1">
      <alignment horizontal="center" vertical="center" wrapText="1"/>
    </xf>
    <xf numFmtId="0" fontId="8" fillId="10" borderId="1" xfId="0" applyFont="1" applyFill="1" applyBorder="1" applyAlignment="1">
      <alignment horizontal="center" vertical="center" wrapText="1"/>
    </xf>
    <xf numFmtId="41" fontId="0" fillId="0" borderId="4" xfId="0" applyNumberFormat="1" applyBorder="1"/>
    <xf numFmtId="3" fontId="0" fillId="0" borderId="2" xfId="0" applyNumberFormat="1" applyBorder="1"/>
    <xf numFmtId="0" fontId="8" fillId="10" borderId="21" xfId="0" applyFont="1" applyFill="1" applyBorder="1" applyAlignment="1">
      <alignment horizontal="center" vertical="center" wrapText="1"/>
    </xf>
    <xf numFmtId="41" fontId="0" fillId="2" borderId="4" xfId="0" applyNumberFormat="1" applyFill="1" applyBorder="1"/>
    <xf numFmtId="0" fontId="1" fillId="0" borderId="1" xfId="0" applyFont="1" applyBorder="1"/>
    <xf numFmtId="3" fontId="1" fillId="0" borderId="1" xfId="0" applyNumberFormat="1" applyFont="1" applyBorder="1"/>
    <xf numFmtId="0" fontId="1" fillId="0" borderId="1" xfId="0" applyFont="1" applyBorder="1" applyAlignment="1">
      <alignment wrapText="1"/>
    </xf>
    <xf numFmtId="0" fontId="0" fillId="5" borderId="21" xfId="0" applyFill="1" applyBorder="1"/>
    <xf numFmtId="0" fontId="30" fillId="0" borderId="0" xfId="0" applyFont="1"/>
    <xf numFmtId="0" fontId="26" fillId="0" borderId="0" xfId="0" applyFont="1"/>
    <xf numFmtId="0" fontId="29" fillId="0" borderId="2" xfId="0" applyFont="1" applyBorder="1" applyAlignment="1">
      <alignment vertical="center"/>
    </xf>
    <xf numFmtId="0" fontId="29" fillId="0" borderId="0" xfId="0" applyFont="1"/>
    <xf numFmtId="0" fontId="26" fillId="0" borderId="0" xfId="0" applyFont="1" applyAlignment="1">
      <alignment horizontal="center"/>
    </xf>
    <xf numFmtId="3" fontId="30" fillId="0" borderId="0" xfId="0" applyNumberFormat="1" applyFont="1" applyAlignment="1">
      <alignment vertical="center"/>
    </xf>
    <xf numFmtId="0" fontId="26" fillId="0" borderId="0" xfId="0" applyFont="1" applyAlignment="1">
      <alignment vertical="center"/>
    </xf>
    <xf numFmtId="0" fontId="12" fillId="0" borderId="2" xfId="0" applyFont="1" applyBorder="1" applyAlignment="1">
      <alignment vertical="center"/>
    </xf>
    <xf numFmtId="0" fontId="6" fillId="0" borderId="0" xfId="0" applyFont="1" applyAlignment="1">
      <alignment wrapText="1"/>
    </xf>
    <xf numFmtId="0" fontId="0" fillId="6" borderId="0" xfId="0" applyFill="1" applyAlignment="1">
      <alignment vertical="center" wrapText="1"/>
    </xf>
    <xf numFmtId="0" fontId="0" fillId="6" borderId="0" xfId="0" applyFill="1" applyAlignment="1">
      <alignment horizontal="left" vertical="center"/>
    </xf>
    <xf numFmtId="164" fontId="6" fillId="0" borderId="1" xfId="1" applyNumberFormat="1" applyFont="1" applyBorder="1"/>
    <xf numFmtId="10" fontId="6" fillId="0" borderId="1" xfId="4" applyNumberFormat="1" applyFont="1" applyBorder="1"/>
    <xf numFmtId="165" fontId="6" fillId="0" borderId="1" xfId="4" applyNumberFormat="1" applyFont="1" applyBorder="1"/>
    <xf numFmtId="0" fontId="6" fillId="0" borderId="0" xfId="0" applyFont="1" applyProtection="1">
      <protection locked="0"/>
    </xf>
    <xf numFmtId="0" fontId="6" fillId="0" borderId="0" xfId="4" applyNumberFormat="1" applyFont="1" applyFill="1" applyBorder="1" applyProtection="1">
      <protection locked="0"/>
    </xf>
    <xf numFmtId="0" fontId="6" fillId="5" borderId="6" xfId="0" applyFont="1" applyFill="1" applyBorder="1" applyProtection="1">
      <protection locked="0"/>
    </xf>
    <xf numFmtId="164" fontId="6" fillId="0" borderId="0" xfId="1" applyNumberFormat="1" applyFont="1" applyFill="1" applyBorder="1" applyProtection="1">
      <protection locked="0"/>
    </xf>
    <xf numFmtId="0" fontId="0" fillId="0" borderId="0" xfId="0" applyAlignment="1">
      <alignment horizontal="left" vertical="center" wrapText="1"/>
    </xf>
    <xf numFmtId="0" fontId="0" fillId="0" borderId="0" xfId="0" applyAlignment="1">
      <alignment horizontal="left" vertical="center"/>
    </xf>
    <xf numFmtId="166" fontId="6" fillId="0" borderId="1" xfId="4" applyNumberFormat="1" applyFont="1" applyFill="1" applyBorder="1" applyProtection="1"/>
    <xf numFmtId="43" fontId="6" fillId="5" borderId="1" xfId="3" applyNumberFormat="1" applyFont="1" applyFill="1" applyBorder="1" applyProtection="1">
      <protection locked="0"/>
    </xf>
    <xf numFmtId="1" fontId="6" fillId="5" borderId="1" xfId="3" applyNumberFormat="1" applyFont="1" applyFill="1" applyBorder="1" applyProtection="1">
      <protection locked="0"/>
    </xf>
    <xf numFmtId="1" fontId="6" fillId="5" borderId="1" xfId="4" applyNumberFormat="1" applyFont="1" applyFill="1" applyBorder="1" applyProtection="1">
      <protection locked="0"/>
    </xf>
    <xf numFmtId="166" fontId="6" fillId="5" borderId="1" xfId="4" applyNumberFormat="1" applyFont="1" applyFill="1" applyBorder="1" applyProtection="1">
      <protection locked="0"/>
    </xf>
    <xf numFmtId="166" fontId="0" fillId="0" borderId="10" xfId="4" applyNumberFormat="1" applyFont="1" applyFill="1" applyBorder="1" applyAlignment="1" applyProtection="1">
      <protection locked="0"/>
    </xf>
    <xf numFmtId="0" fontId="7" fillId="0" borderId="10" xfId="0" applyFont="1" applyBorder="1"/>
    <xf numFmtId="0" fontId="25" fillId="0" borderId="9" xfId="0" applyFont="1" applyBorder="1"/>
    <xf numFmtId="166" fontId="0" fillId="0" borderId="0" xfId="4" applyNumberFormat="1" applyFont="1" applyFill="1" applyBorder="1" applyAlignment="1" applyProtection="1"/>
    <xf numFmtId="166" fontId="6" fillId="0" borderId="0" xfId="4" applyNumberFormat="1" applyFont="1" applyFill="1" applyBorder="1" applyProtection="1">
      <protection locked="0"/>
    </xf>
    <xf numFmtId="0" fontId="0" fillId="0" borderId="10" xfId="0" applyBorder="1" applyProtection="1">
      <protection locked="0"/>
    </xf>
    <xf numFmtId="0" fontId="7" fillId="0" borderId="10" xfId="0" applyFont="1" applyBorder="1" applyAlignment="1">
      <alignment wrapText="1"/>
    </xf>
    <xf numFmtId="0" fontId="0" fillId="0" borderId="16" xfId="0" applyBorder="1" applyProtection="1">
      <protection locked="0"/>
    </xf>
    <xf numFmtId="0" fontId="7" fillId="0" borderId="16" xfId="0" applyFont="1" applyBorder="1" applyAlignment="1">
      <alignment wrapText="1"/>
    </xf>
    <xf numFmtId="0" fontId="8" fillId="10" borderId="2" xfId="0" applyFont="1" applyFill="1" applyBorder="1" applyAlignment="1">
      <alignment horizontal="center" wrapText="1"/>
    </xf>
    <xf numFmtId="0" fontId="6" fillId="0" borderId="2" xfId="0" applyFont="1" applyBorder="1" applyAlignment="1">
      <alignment horizontal="center"/>
    </xf>
    <xf numFmtId="0" fontId="8" fillId="10" borderId="5" xfId="0" applyFont="1" applyFill="1" applyBorder="1" applyAlignment="1">
      <alignment horizontal="center" vertical="center" wrapText="1"/>
    </xf>
    <xf numFmtId="9" fontId="1" fillId="0" borderId="1" xfId="4" applyFont="1" applyBorder="1" applyAlignment="1">
      <alignment horizontal="right"/>
    </xf>
    <xf numFmtId="3" fontId="6" fillId="0" borderId="1" xfId="0" applyNumberFormat="1" applyFont="1" applyBorder="1" applyProtection="1">
      <protection locked="0"/>
    </xf>
    <xf numFmtId="44" fontId="0" fillId="0" borderId="1" xfId="3" applyFont="1" applyFill="1" applyBorder="1"/>
    <xf numFmtId="2" fontId="0" fillId="0" borderId="1" xfId="0" applyNumberFormat="1" applyBorder="1"/>
    <xf numFmtId="0" fontId="6" fillId="6" borderId="1" xfId="0" applyFont="1" applyFill="1" applyBorder="1"/>
    <xf numFmtId="41" fontId="16" fillId="0" borderId="2" xfId="3" applyNumberFormat="1" applyFont="1" applyFill="1" applyBorder="1" applyAlignment="1"/>
    <xf numFmtId="41" fontId="16" fillId="0" borderId="1" xfId="3" applyNumberFormat="1" applyFont="1" applyFill="1" applyBorder="1" applyAlignment="1"/>
    <xf numFmtId="0" fontId="16" fillId="0" borderId="0" xfId="0" applyFont="1" applyAlignment="1">
      <alignment wrapText="1"/>
    </xf>
    <xf numFmtId="0" fontId="8" fillId="10" borderId="4" xfId="0" applyFont="1" applyFill="1" applyBorder="1" applyAlignment="1">
      <alignment horizontal="center" vertical="center" wrapText="1"/>
    </xf>
    <xf numFmtId="0" fontId="1" fillId="0" borderId="2" xfId="0" applyFont="1" applyBorder="1"/>
    <xf numFmtId="0" fontId="33" fillId="6" borderId="0" xfId="0" applyFont="1" applyFill="1"/>
    <xf numFmtId="0" fontId="6" fillId="6" borderId="0" xfId="0" applyFont="1" applyFill="1"/>
    <xf numFmtId="0" fontId="1" fillId="13" borderId="0" xfId="0" applyFont="1" applyFill="1"/>
    <xf numFmtId="41" fontId="1" fillId="0" borderId="0" xfId="0" applyNumberFormat="1" applyFont="1"/>
    <xf numFmtId="3" fontId="0" fillId="6" borderId="0" xfId="0" applyNumberFormat="1" applyFill="1"/>
    <xf numFmtId="41" fontId="1" fillId="6" borderId="0" xfId="0" applyNumberFormat="1" applyFont="1" applyFill="1"/>
    <xf numFmtId="0" fontId="0" fillId="0" borderId="3" xfId="0" applyBorder="1"/>
    <xf numFmtId="0" fontId="11" fillId="0" borderId="0" xfId="0" applyFont="1" applyAlignment="1">
      <alignment wrapText="1"/>
    </xf>
    <xf numFmtId="41" fontId="11" fillId="0" borderId="0" xfId="0" applyNumberFormat="1" applyFont="1" applyAlignment="1">
      <alignment wrapText="1"/>
    </xf>
    <xf numFmtId="4" fontId="0" fillId="0" borderId="1" xfId="0" applyNumberFormat="1" applyBorder="1"/>
    <xf numFmtId="0" fontId="0" fillId="0" borderId="1" xfId="0" applyBorder="1" applyAlignment="1">
      <alignment vertical="center" wrapText="1"/>
    </xf>
    <xf numFmtId="3" fontId="6" fillId="2" borderId="4" xfId="0" applyNumberFormat="1" applyFont="1" applyFill="1" applyBorder="1" applyAlignment="1">
      <alignment vertical="center"/>
    </xf>
    <xf numFmtId="0" fontId="0" fillId="0" borderId="6" xfId="0" applyBorder="1" applyAlignment="1">
      <alignment vertical="center" wrapText="1"/>
    </xf>
    <xf numFmtId="0" fontId="17" fillId="0" borderId="29" xfId="0" applyFont="1" applyBorder="1" applyAlignment="1">
      <alignment horizontal="right" vertical="center" wrapText="1"/>
    </xf>
    <xf numFmtId="0" fontId="17" fillId="0" borderId="8" xfId="0" applyFont="1" applyBorder="1" applyAlignment="1">
      <alignment horizontal="right" vertical="center" wrapText="1"/>
    </xf>
    <xf numFmtId="0" fontId="6" fillId="0" borderId="0" xfId="0" applyFont="1" applyAlignment="1">
      <alignment vertical="center" wrapText="1"/>
    </xf>
    <xf numFmtId="1" fontId="6" fillId="0" borderId="1" xfId="4" applyNumberFormat="1" applyFont="1" applyFill="1" applyBorder="1" applyProtection="1">
      <protection locked="0"/>
    </xf>
    <xf numFmtId="165" fontId="0" fillId="0" borderId="1" xfId="4" applyNumberFormat="1" applyFont="1" applyFill="1" applyBorder="1"/>
    <xf numFmtId="165" fontId="6" fillId="0" borderId="1" xfId="4" applyNumberFormat="1" applyFont="1" applyFill="1" applyBorder="1"/>
    <xf numFmtId="0" fontId="3" fillId="0" borderId="31" xfId="2" applyBorder="1"/>
    <xf numFmtId="0" fontId="0" fillId="0" borderId="31" xfId="0" applyBorder="1"/>
    <xf numFmtId="0" fontId="0" fillId="0" borderId="25" xfId="0" applyBorder="1"/>
    <xf numFmtId="0" fontId="34" fillId="0" borderId="0" xfId="0" applyFont="1" applyAlignment="1">
      <alignment vertical="center" wrapText="1"/>
    </xf>
    <xf numFmtId="2" fontId="0" fillId="5" borderId="1" xfId="0" applyNumberFormat="1" applyFill="1" applyBorder="1" applyProtection="1">
      <protection locked="0"/>
    </xf>
    <xf numFmtId="166" fontId="0" fillId="5" borderId="1" xfId="0" applyNumberFormat="1" applyFill="1" applyBorder="1" applyProtection="1">
      <protection locked="0"/>
    </xf>
    <xf numFmtId="0" fontId="0" fillId="6" borderId="1" xfId="0" applyFill="1" applyBorder="1" applyAlignment="1">
      <alignment wrapText="1"/>
    </xf>
    <xf numFmtId="0" fontId="6" fillId="6" borderId="1" xfId="0" applyFont="1" applyFill="1" applyBorder="1" applyAlignment="1">
      <alignment wrapText="1"/>
    </xf>
    <xf numFmtId="41" fontId="0" fillId="0" borderId="1" xfId="3" applyNumberFormat="1" applyFont="1" applyBorder="1" applyProtection="1"/>
    <xf numFmtId="41" fontId="0" fillId="5" borderId="22" xfId="0" applyNumberFormat="1" applyFill="1" applyBorder="1" applyAlignment="1" applyProtection="1">
      <alignment horizontal="right"/>
      <protection locked="0"/>
    </xf>
    <xf numFmtId="0" fontId="0" fillId="0" borderId="23" xfId="0" applyBorder="1" applyAlignment="1">
      <alignment wrapText="1"/>
    </xf>
    <xf numFmtId="0" fontId="0" fillId="0" borderId="22" xfId="0"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6" xfId="0" applyBorder="1" applyAlignment="1">
      <alignment horizontal="left" vertical="center" wrapText="1"/>
    </xf>
    <xf numFmtId="0" fontId="0" fillId="0" borderId="29" xfId="0" applyBorder="1" applyAlignment="1">
      <alignment horizontal="left" vertical="center" wrapText="1"/>
    </xf>
    <xf numFmtId="0" fontId="0" fillId="0" borderId="8" xfId="0" applyBorder="1" applyAlignment="1">
      <alignment horizontal="left" vertical="center" wrapText="1"/>
    </xf>
    <xf numFmtId="0" fontId="34" fillId="0" borderId="0" xfId="0" applyFont="1" applyAlignment="1">
      <alignment vertical="center" wrapText="1"/>
    </xf>
    <xf numFmtId="0" fontId="0" fillId="0" borderId="21" xfId="0" applyBorder="1" applyAlignment="1">
      <alignment wrapText="1"/>
    </xf>
    <xf numFmtId="0" fontId="3" fillId="0" borderId="5" xfId="2" applyBorder="1"/>
    <xf numFmtId="0" fontId="3" fillId="0" borderId="0" xfId="2" applyBorder="1"/>
    <xf numFmtId="0" fontId="3" fillId="0" borderId="30" xfId="2" applyBorder="1"/>
    <xf numFmtId="0" fontId="3" fillId="0" borderId="24" xfId="2" applyBorder="1"/>
    <xf numFmtId="0" fontId="3" fillId="0" borderId="31" xfId="2" applyBorder="1"/>
    <xf numFmtId="0" fontId="3" fillId="0" borderId="25" xfId="2" applyBorder="1"/>
    <xf numFmtId="0" fontId="0" fillId="0" borderId="4" xfId="0" applyBorder="1" applyAlignment="1">
      <alignment vertical="center" wrapText="1"/>
    </xf>
    <xf numFmtId="0" fontId="0" fillId="0" borderId="1" xfId="0" applyBorder="1" applyAlignment="1">
      <alignment vertical="center"/>
    </xf>
    <xf numFmtId="0" fontId="3" fillId="0" borderId="1" xfId="2" applyBorder="1" applyAlignment="1">
      <alignment vertical="center"/>
    </xf>
    <xf numFmtId="0" fontId="3" fillId="0" borderId="1" xfId="2" applyBorder="1" applyAlignment="1">
      <alignment vertical="center" wrapText="1"/>
    </xf>
    <xf numFmtId="0" fontId="3" fillId="0" borderId="1" xfId="2" applyFill="1" applyBorder="1"/>
    <xf numFmtId="0" fontId="3" fillId="0" borderId="4" xfId="2" applyBorder="1" applyAlignment="1">
      <alignment vertical="center" wrapText="1"/>
    </xf>
    <xf numFmtId="0" fontId="0" fillId="0" borderId="2" xfId="0" applyBorder="1" applyAlignment="1">
      <alignment vertical="center" wrapText="1"/>
    </xf>
    <xf numFmtId="0" fontId="0" fillId="0" borderId="1" xfId="0" applyBorder="1" applyAlignment="1">
      <alignment vertical="center" wrapText="1"/>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1" fillId="0" borderId="2" xfId="0" applyFont="1" applyBorder="1" applyAlignment="1">
      <alignment vertical="center"/>
    </xf>
    <xf numFmtId="0" fontId="1" fillId="0" borderId="4" xfId="0" applyFont="1" applyBorder="1" applyAlignment="1">
      <alignment vertical="center"/>
    </xf>
    <xf numFmtId="0" fontId="0" fillId="0" borderId="1" xfId="0" applyBorder="1" applyAlignment="1" applyProtection="1">
      <alignment vertical="center" wrapText="1"/>
      <protection locked="0"/>
    </xf>
    <xf numFmtId="0" fontId="0" fillId="0" borderId="0" xfId="0" applyAlignment="1">
      <alignment vertical="center" wrapText="1"/>
    </xf>
    <xf numFmtId="0" fontId="8" fillId="10" borderId="24" xfId="0" applyFont="1" applyFill="1" applyBorder="1" applyAlignment="1">
      <alignment horizontal="center"/>
    </xf>
    <xf numFmtId="0" fontId="8" fillId="10" borderId="25" xfId="0" applyFont="1" applyFill="1" applyBorder="1" applyAlignment="1">
      <alignment horizontal="center"/>
    </xf>
    <xf numFmtId="0" fontId="8" fillId="10" borderId="5" xfId="0" applyFont="1" applyFill="1" applyBorder="1" applyAlignment="1">
      <alignment horizontal="center"/>
    </xf>
    <xf numFmtId="0" fontId="8" fillId="10" borderId="0" xfId="0" applyFont="1" applyFill="1" applyAlignment="1">
      <alignment horizontal="center"/>
    </xf>
    <xf numFmtId="0" fontId="0" fillId="0" borderId="1" xfId="0" applyBorder="1" applyAlignment="1" applyProtection="1">
      <alignment vertical="center"/>
      <protection locked="0"/>
    </xf>
    <xf numFmtId="0" fontId="0" fillId="0" borderId="26" xfId="0"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0" fillId="0" borderId="7" xfId="0" applyBorder="1" applyAlignment="1">
      <alignment vertical="center" wrapText="1"/>
    </xf>
    <xf numFmtId="0" fontId="0" fillId="0" borderId="7" xfId="0" applyBorder="1" applyAlignment="1">
      <alignment vertical="center"/>
    </xf>
    <xf numFmtId="0" fontId="1" fillId="0" borderId="2" xfId="0" applyFont="1" applyBorder="1" applyAlignment="1">
      <alignment vertical="center" wrapText="1"/>
    </xf>
    <xf numFmtId="0" fontId="1" fillId="0" borderId="4" xfId="0" applyFont="1" applyBorder="1" applyAlignment="1">
      <alignment vertical="center" wrapText="1"/>
    </xf>
    <xf numFmtId="0" fontId="0" fillId="5" borderId="1" xfId="0" applyFill="1" applyBorder="1" applyAlignment="1">
      <alignment vertical="center" wrapText="1"/>
    </xf>
    <xf numFmtId="0" fontId="8" fillId="10" borderId="1" xfId="0" applyFont="1" applyFill="1" applyBorder="1" applyAlignment="1" applyProtection="1">
      <alignment horizontal="center"/>
      <protection locked="0"/>
    </xf>
    <xf numFmtId="0" fontId="0" fillId="0" borderId="3" xfId="0" applyBorder="1" applyAlignment="1">
      <alignment vertical="center" wrapText="1"/>
    </xf>
    <xf numFmtId="0" fontId="6" fillId="0" borderId="0" xfId="0" applyFont="1" applyAlignment="1">
      <alignment vertical="center" wrapText="1"/>
    </xf>
    <xf numFmtId="0" fontId="12" fillId="0" borderId="2" xfId="0" applyFont="1" applyBorder="1" applyAlignment="1">
      <alignment vertical="center"/>
    </xf>
    <xf numFmtId="0" fontId="12" fillId="0" borderId="4" xfId="0" applyFont="1" applyBorder="1" applyAlignment="1">
      <alignment vertical="center"/>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12" fillId="0" borderId="2" xfId="0" applyFont="1" applyBorder="1" applyAlignment="1">
      <alignment vertical="center" wrapText="1"/>
    </xf>
    <xf numFmtId="0" fontId="12" fillId="0" borderId="4" xfId="0" applyFont="1" applyBorder="1" applyAlignment="1">
      <alignment vertical="center" wrapText="1"/>
    </xf>
    <xf numFmtId="0" fontId="6" fillId="0" borderId="1" xfId="0" applyFont="1" applyBorder="1" applyAlignment="1" applyProtection="1">
      <alignment vertical="center" wrapText="1"/>
      <protection locked="0"/>
    </xf>
    <xf numFmtId="0" fontId="8" fillId="10" borderId="0" xfId="0" applyFont="1" applyFill="1" applyAlignment="1">
      <alignment horizontal="center" vertical="center"/>
    </xf>
    <xf numFmtId="0" fontId="0" fillId="0" borderId="0" xfId="0" applyAlignment="1">
      <alignment wrapText="1"/>
    </xf>
    <xf numFmtId="0" fontId="5" fillId="0" borderId="0" xfId="0" applyFont="1" applyAlignment="1">
      <alignment wrapText="1"/>
    </xf>
    <xf numFmtId="0" fontId="7" fillId="0" borderId="5" xfId="0" applyFont="1" applyBorder="1" applyAlignment="1">
      <alignment wrapText="1"/>
    </xf>
    <xf numFmtId="0" fontId="7" fillId="0" borderId="0" xfId="0" applyFont="1" applyAlignment="1">
      <alignment wrapText="1"/>
    </xf>
    <xf numFmtId="0" fontId="7" fillId="0" borderId="13" xfId="0" applyFont="1" applyBorder="1" applyAlignment="1">
      <alignment wrapText="1"/>
    </xf>
    <xf numFmtId="0" fontId="11" fillId="7" borderId="0" xfId="0" applyFont="1" applyFill="1" applyAlignment="1">
      <alignment horizontal="left"/>
    </xf>
    <xf numFmtId="0" fontId="0" fillId="0" borderId="1" xfId="0" applyBorder="1"/>
    <xf numFmtId="0" fontId="4" fillId="3" borderId="0" xfId="0" applyFont="1" applyFill="1" applyAlignment="1">
      <alignment horizontal="left" vertical="center"/>
    </xf>
    <xf numFmtId="0" fontId="0" fillId="6" borderId="0" xfId="0" applyFill="1" applyAlignment="1">
      <alignment vertical="center" wrapText="1"/>
    </xf>
    <xf numFmtId="0" fontId="0" fillId="6" borderId="0" xfId="0" applyFill="1" applyAlignment="1">
      <alignment horizontal="left" vertical="center" wrapText="1"/>
    </xf>
    <xf numFmtId="0" fontId="20" fillId="6" borderId="0" xfId="0" applyFont="1" applyFill="1" applyAlignment="1">
      <alignment wrapText="1"/>
    </xf>
    <xf numFmtId="0" fontId="15" fillId="3" borderId="0" xfId="0" applyFont="1" applyFill="1" applyAlignment="1">
      <alignment vertical="center"/>
    </xf>
    <xf numFmtId="0" fontId="8" fillId="10" borderId="2" xfId="0" applyFont="1" applyFill="1" applyBorder="1" applyAlignment="1">
      <alignment horizontal="center" vertical="center" wrapText="1"/>
    </xf>
    <xf numFmtId="0" fontId="8" fillId="10" borderId="4" xfId="0" applyFont="1" applyFill="1" applyBorder="1" applyAlignment="1">
      <alignment horizontal="center" vertical="center" wrapText="1"/>
    </xf>
    <xf numFmtId="0" fontId="1" fillId="0" borderId="1" xfId="0" applyFont="1" applyBorder="1" applyAlignment="1">
      <alignment vertical="center"/>
    </xf>
    <xf numFmtId="0" fontId="1" fillId="0" borderId="2" xfId="0" applyFont="1" applyBorder="1"/>
    <xf numFmtId="0" fontId="1" fillId="0" borderId="4" xfId="0" applyFont="1" applyBorder="1"/>
    <xf numFmtId="0" fontId="11" fillId="3" borderId="1" xfId="0" applyFont="1" applyFill="1" applyBorder="1" applyAlignment="1">
      <alignment vertical="center"/>
    </xf>
    <xf numFmtId="0" fontId="14" fillId="12" borderId="0" xfId="0" applyFont="1" applyFill="1" applyAlignment="1">
      <alignment vertical="center"/>
    </xf>
    <xf numFmtId="0" fontId="12" fillId="0" borderId="2" xfId="0" applyFont="1" applyBorder="1"/>
    <xf numFmtId="0" fontId="12" fillId="0" borderId="4" xfId="0" applyFont="1" applyBorder="1"/>
    <xf numFmtId="0" fontId="0" fillId="0" borderId="1" xfId="0" applyBorder="1" applyAlignment="1">
      <alignment wrapText="1"/>
    </xf>
    <xf numFmtId="2" fontId="0" fillId="0" borderId="1" xfId="0" applyNumberFormat="1" applyBorder="1" applyProtection="1">
      <protection locked="0"/>
    </xf>
    <xf numFmtId="166" fontId="0" fillId="0" borderId="1" xfId="0" applyNumberFormat="1" applyBorder="1" applyProtection="1">
      <protection locked="0"/>
    </xf>
    <xf numFmtId="3" fontId="1" fillId="0" borderId="2" xfId="0" applyNumberFormat="1" applyFont="1" applyBorder="1"/>
    <xf numFmtId="3" fontId="1" fillId="0" borderId="4" xfId="0" applyNumberFormat="1" applyFont="1" applyBorder="1"/>
    <xf numFmtId="168" fontId="0" fillId="0" borderId="1" xfId="0" applyNumberFormat="1" applyBorder="1" applyProtection="1">
      <protection locked="0"/>
    </xf>
    <xf numFmtId="0" fontId="8" fillId="10" borderId="2" xfId="0" applyFont="1" applyFill="1" applyBorder="1" applyAlignment="1">
      <alignment horizontal="center" vertical="center"/>
    </xf>
    <xf numFmtId="0" fontId="8" fillId="10" borderId="4" xfId="0" applyFont="1" applyFill="1" applyBorder="1" applyAlignment="1">
      <alignment horizontal="center" vertical="center"/>
    </xf>
    <xf numFmtId="44" fontId="2" fillId="0" borderId="2" xfId="3" applyFont="1" applyBorder="1" applyAlignment="1">
      <alignment horizontal="right" vertical="center"/>
    </xf>
    <xf numFmtId="44" fontId="2" fillId="0" borderId="4" xfId="3" applyFont="1" applyBorder="1" applyAlignment="1">
      <alignment horizontal="right" vertical="center"/>
    </xf>
    <xf numFmtId="41" fontId="2" fillId="0" borderId="2" xfId="3" applyNumberFormat="1" applyFont="1" applyBorder="1"/>
    <xf numFmtId="41" fontId="2" fillId="0" borderId="4" xfId="3" applyNumberFormat="1" applyFont="1" applyBorder="1"/>
    <xf numFmtId="41" fontId="2" fillId="0" borderId="2" xfId="3" applyNumberFormat="1" applyFont="1" applyBorder="1" applyAlignment="1">
      <alignment vertical="center"/>
    </xf>
    <xf numFmtId="41" fontId="2" fillId="0" borderId="4" xfId="3" applyNumberFormat="1" applyFont="1" applyBorder="1" applyAlignment="1">
      <alignment vertical="center"/>
    </xf>
    <xf numFmtId="0" fontId="8" fillId="10" borderId="21" xfId="0" applyFont="1" applyFill="1" applyBorder="1" applyAlignment="1">
      <alignment horizontal="center" vertical="center"/>
    </xf>
    <xf numFmtId="0" fontId="8" fillId="10" borderId="23" xfId="0" applyFont="1" applyFill="1" applyBorder="1" applyAlignment="1">
      <alignment horizontal="center" vertical="center"/>
    </xf>
    <xf numFmtId="3" fontId="0" fillId="0" borderId="2" xfId="0" applyNumberFormat="1" applyBorder="1"/>
    <xf numFmtId="3" fontId="0" fillId="0" borderId="4" xfId="0" applyNumberFormat="1" applyBorder="1"/>
    <xf numFmtId="0" fontId="8" fillId="10" borderId="24" xfId="0" applyFont="1" applyFill="1" applyBorder="1" applyAlignment="1">
      <alignment horizontal="center" vertical="center" wrapText="1"/>
    </xf>
    <xf numFmtId="0" fontId="8" fillId="10" borderId="25" xfId="0" applyFont="1" applyFill="1" applyBorder="1" applyAlignment="1">
      <alignment horizontal="center" vertical="center" wrapText="1"/>
    </xf>
    <xf numFmtId="0" fontId="22" fillId="0" borderId="0" xfId="0" applyFont="1" applyAlignment="1">
      <alignment wrapText="1"/>
    </xf>
    <xf numFmtId="0" fontId="8" fillId="10" borderId="5" xfId="0" applyFont="1" applyFill="1" applyBorder="1" applyAlignment="1">
      <alignment horizontal="center" vertical="center" wrapText="1"/>
    </xf>
    <xf numFmtId="0" fontId="8" fillId="10" borderId="0" xfId="0" applyFont="1" applyFill="1" applyAlignment="1">
      <alignment horizontal="center" vertical="center" wrapText="1"/>
    </xf>
    <xf numFmtId="0" fontId="8" fillId="3" borderId="1" xfId="0" applyFont="1" applyFill="1" applyBorder="1" applyAlignment="1">
      <alignment vertical="center"/>
    </xf>
    <xf numFmtId="3" fontId="0" fillId="0" borderId="2" xfId="0" applyNumberFormat="1" applyBorder="1" applyAlignment="1">
      <alignment vertical="center"/>
    </xf>
    <xf numFmtId="3" fontId="0" fillId="0" borderId="4" xfId="0" applyNumberFormat="1" applyBorder="1" applyAlignment="1">
      <alignment vertical="center"/>
    </xf>
    <xf numFmtId="3" fontId="6" fillId="2" borderId="2" xfId="0" applyNumberFormat="1" applyFont="1" applyFill="1" applyBorder="1" applyAlignment="1">
      <alignment vertical="center"/>
    </xf>
    <xf numFmtId="3" fontId="6" fillId="2" borderId="4" xfId="0" applyNumberFormat="1" applyFont="1" applyFill="1" applyBorder="1" applyAlignment="1">
      <alignment vertical="center"/>
    </xf>
    <xf numFmtId="0" fontId="8" fillId="10" borderId="6" xfId="0" applyFont="1" applyFill="1" applyBorder="1" applyAlignment="1">
      <alignment horizontal="center" vertical="center" wrapText="1"/>
    </xf>
    <xf numFmtId="0" fontId="8" fillId="0" borderId="0" xfId="0" applyFont="1" applyAlignment="1">
      <alignment horizontal="center" vertical="center"/>
    </xf>
    <xf numFmtId="0" fontId="8" fillId="10" borderId="1" xfId="0" applyFont="1" applyFill="1" applyBorder="1" applyAlignment="1">
      <alignment horizontal="center" vertical="center" wrapText="1"/>
    </xf>
    <xf numFmtId="0" fontId="17" fillId="6" borderId="0" xfId="0" applyFont="1" applyFill="1" applyAlignment="1">
      <alignment wrapText="1"/>
    </xf>
    <xf numFmtId="0" fontId="8" fillId="10" borderId="21" xfId="0" applyFont="1" applyFill="1" applyBorder="1" applyAlignment="1">
      <alignment horizontal="center" vertical="center" wrapText="1"/>
    </xf>
    <xf numFmtId="0" fontId="8" fillId="10" borderId="22" xfId="0" applyFont="1" applyFill="1" applyBorder="1" applyAlignment="1">
      <alignment horizontal="center" vertical="center" wrapText="1"/>
    </xf>
    <xf numFmtId="0" fontId="5" fillId="4" borderId="18" xfId="0" applyFont="1" applyFill="1" applyBorder="1"/>
    <xf numFmtId="0" fontId="5" fillId="4" borderId="19" xfId="0" applyFont="1" applyFill="1" applyBorder="1"/>
    <xf numFmtId="0" fontId="5" fillId="4" borderId="20" xfId="0" applyFont="1" applyFill="1" applyBorder="1"/>
    <xf numFmtId="0" fontId="13" fillId="4" borderId="18" xfId="0" applyFont="1" applyFill="1" applyBorder="1"/>
    <xf numFmtId="0" fontId="13" fillId="4" borderId="19" xfId="0" applyFont="1" applyFill="1" applyBorder="1"/>
    <xf numFmtId="0" fontId="13" fillId="4" borderId="20" xfId="0" applyFont="1" applyFill="1" applyBorder="1"/>
    <xf numFmtId="3" fontId="31" fillId="0" borderId="2" xfId="0" applyNumberFormat="1" applyFont="1" applyBorder="1"/>
    <xf numFmtId="3" fontId="31" fillId="0" borderId="4" xfId="0" applyNumberFormat="1" applyFont="1" applyBorder="1"/>
    <xf numFmtId="167" fontId="16" fillId="0" borderId="0" xfId="3" applyNumberFormat="1" applyFont="1" applyFill="1" applyBorder="1" applyAlignment="1"/>
    <xf numFmtId="3" fontId="16" fillId="0" borderId="2" xfId="0" applyNumberFormat="1" applyFont="1" applyBorder="1"/>
    <xf numFmtId="3" fontId="16" fillId="0" borderId="4" xfId="0" applyNumberFormat="1" applyFont="1" applyBorder="1"/>
    <xf numFmtId="3" fontId="16" fillId="0" borderId="1" xfId="0" applyNumberFormat="1" applyFont="1" applyBorder="1"/>
    <xf numFmtId="0" fontId="8" fillId="10" borderId="2" xfId="0" applyFont="1" applyFill="1" applyBorder="1" applyAlignment="1">
      <alignment horizontal="center" wrapText="1"/>
    </xf>
    <xf numFmtId="0" fontId="8" fillId="10" borderId="4" xfId="0" applyFont="1" applyFill="1" applyBorder="1" applyAlignment="1">
      <alignment horizontal="center" wrapText="1"/>
    </xf>
    <xf numFmtId="0" fontId="17" fillId="6" borderId="0" xfId="0" applyFont="1" applyFill="1"/>
    <xf numFmtId="0" fontId="13" fillId="12" borderId="0" xfId="0" applyFont="1" applyFill="1"/>
    <xf numFmtId="0" fontId="8" fillId="10" borderId="1" xfId="0" applyFont="1" applyFill="1" applyBorder="1" applyAlignment="1">
      <alignment horizontal="center" wrapText="1"/>
    </xf>
    <xf numFmtId="0" fontId="1" fillId="0" borderId="0" xfId="0" applyFont="1" applyAlignment="1">
      <alignment horizontal="center" wrapText="1"/>
    </xf>
    <xf numFmtId="3" fontId="11" fillId="3" borderId="2" xfId="0" applyNumberFormat="1" applyFont="1" applyFill="1" applyBorder="1"/>
    <xf numFmtId="0" fontId="11" fillId="3" borderId="4" xfId="0" applyFont="1" applyFill="1" applyBorder="1"/>
    <xf numFmtId="3" fontId="11" fillId="3" borderId="4" xfId="0" applyNumberFormat="1" applyFont="1" applyFill="1" applyBorder="1"/>
    <xf numFmtId="0" fontId="32" fillId="13" borderId="0" xfId="0" applyFont="1" applyFill="1"/>
    <xf numFmtId="41" fontId="11" fillId="3" borderId="5" xfId="3" applyNumberFormat="1" applyFont="1" applyFill="1" applyBorder="1" applyAlignment="1"/>
    <xf numFmtId="41" fontId="11" fillId="3" borderId="0" xfId="3" applyNumberFormat="1" applyFont="1" applyFill="1" applyBorder="1" applyAlignment="1"/>
    <xf numFmtId="0" fontId="5" fillId="12" borderId="0" xfId="0" applyFont="1" applyFill="1"/>
    <xf numFmtId="0" fontId="11" fillId="3" borderId="2" xfId="0" applyFont="1" applyFill="1" applyBorder="1" applyAlignment="1">
      <alignment wrapText="1"/>
    </xf>
    <xf numFmtId="0" fontId="11" fillId="3" borderId="3" xfId="0" applyFont="1" applyFill="1" applyBorder="1" applyAlignment="1">
      <alignment wrapText="1"/>
    </xf>
    <xf numFmtId="0" fontId="11" fillId="3" borderId="4" xfId="0" applyFont="1" applyFill="1" applyBorder="1" applyAlignment="1">
      <alignment wrapText="1"/>
    </xf>
    <xf numFmtId="0" fontId="4" fillId="3" borderId="0" xfId="0" applyFont="1" applyFill="1" applyAlignment="1">
      <alignment vertical="center"/>
    </xf>
    <xf numFmtId="167" fontId="16" fillId="0" borderId="5" xfId="3" applyNumberFormat="1" applyFont="1" applyFill="1" applyBorder="1" applyAlignment="1"/>
    <xf numFmtId="0" fontId="1" fillId="0" borderId="5" xfId="0" applyFont="1" applyBorder="1" applyAlignment="1">
      <alignment horizontal="center" wrapText="1"/>
    </xf>
    <xf numFmtId="0" fontId="1" fillId="11" borderId="0" xfId="0" applyFont="1" applyFill="1"/>
    <xf numFmtId="0" fontId="11" fillId="9" borderId="0" xfId="0" applyFont="1" applyFill="1" applyAlignment="1">
      <alignment vertical="center"/>
    </xf>
  </cellXfs>
  <cellStyles count="5">
    <cellStyle name="Comma" xfId="1" builtinId="3"/>
    <cellStyle name="Currency" xfId="3" builtinId="4"/>
    <cellStyle name="Hyperlink" xfId="2" builtinId="8"/>
    <cellStyle name="Normal" xfId="0" builtinId="0"/>
    <cellStyle name="Percent" xfId="4" builtinId="5"/>
  </cellStyles>
  <dxfs count="13">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6666"/>
        </patternFill>
      </fill>
    </dxf>
    <dxf>
      <fill>
        <patternFill>
          <bgColor rgb="FFFF0000"/>
        </patternFill>
      </fill>
    </dxf>
    <dxf>
      <font>
        <b/>
        <i val="0"/>
      </font>
      <fill>
        <patternFill>
          <bgColor theme="9"/>
        </patternFill>
      </fill>
    </dxf>
    <dxf>
      <font>
        <b/>
        <i val="0"/>
      </font>
      <fill>
        <patternFill>
          <bgColor rgb="FFFFFF00"/>
        </patternFill>
      </fill>
    </dxf>
    <dxf>
      <font>
        <b/>
        <i val="0"/>
        <color theme="0"/>
      </font>
      <fill>
        <patternFill>
          <bgColor rgb="FFFF0000"/>
        </patternFill>
      </fill>
    </dxf>
    <dxf>
      <font>
        <b/>
        <i val="0"/>
        <strike val="0"/>
      </font>
      <fill>
        <patternFill>
          <bgColor theme="9"/>
        </patternFill>
      </fill>
    </dxf>
    <dxf>
      <font>
        <b/>
        <i val="0"/>
        <color theme="0"/>
      </font>
      <fill>
        <patternFill>
          <bgColor rgb="FFC00000"/>
        </patternFill>
      </fill>
    </dxf>
    <dxf>
      <font>
        <b/>
        <i val="0"/>
        <strike val="0"/>
        <color auto="1"/>
      </font>
      <fill>
        <patternFill>
          <bgColor theme="9"/>
        </patternFill>
      </fill>
    </dxf>
    <dxf>
      <font>
        <b/>
        <i val="0"/>
        <strike val="0"/>
        <color theme="0"/>
      </font>
      <fill>
        <patternFill>
          <bgColor rgb="FFFF0000"/>
        </patternFill>
      </fill>
    </dxf>
  </dxfs>
  <tableStyles count="0" defaultTableStyle="TableStyleMedium2" defaultPivotStyle="PivotStyleLight16"/>
  <colors>
    <mruColors>
      <color rgb="FFFFFFCC"/>
      <color rgb="FF215C98"/>
      <color rgb="FFFF0000"/>
      <color rgb="FFFF6666"/>
      <color rgb="FFFFC000"/>
      <color rgb="FFFFFF00"/>
      <color rgb="FF92D050"/>
      <color rgb="FF00B050"/>
      <color rgb="FFEAF8E4"/>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FF1C4B7-57A4-460E-AB04-A8FB3DECB994}">
  <we:reference id="29673e3c-d826-4f00-92ee-162334a52b1a" version="1.0.0.8" store="EXCatalog" storeType="EXCatalog"/>
  <we:alternateReferences>
    <we:reference id="WA200009404" version="1.0.0.8" store="en-US"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8" Type="http://schemas.openxmlformats.org/officeDocument/2006/relationships/hyperlink" Target="https://pubmed.ncbi.nlm.nih.gov/29599078/" TargetMode="External"/><Relationship Id="rId3" Type="http://schemas.openxmlformats.org/officeDocument/2006/relationships/hyperlink" Target="https://www.who.int/data/gho/data/indicators/indicator-details/GHO/women-accessing-antenatal-care-(anc)-services-who-were-tested-for-syphilis-(-)" TargetMode="External"/><Relationship Id="rId7" Type="http://schemas.openxmlformats.org/officeDocument/2006/relationships/hyperlink" Target="https://journals.sagepub.com/doi/10.1177/09564624211035922" TargetMode="External"/><Relationship Id="rId2" Type="http://schemas.openxmlformats.org/officeDocument/2006/relationships/hyperlink" Target="https://www.who.int/data/gho/data/indicators/indicator-details/GHO/antenatal-care-attendees-who-were-positive-for-syphilis-(-)" TargetMode="External"/><Relationship Id="rId1" Type="http://schemas.openxmlformats.org/officeDocument/2006/relationships/hyperlink" Target="https://www.who.int/data/gho/data/indicators/indicator-details/GHO/antenatal-care-attendees-positive-for-syphilis-who-received-treatment-(-)" TargetMode="External"/><Relationship Id="rId6" Type="http://schemas.openxmlformats.org/officeDocument/2006/relationships/hyperlink" Target="https://www.who.int/publications/i/item/9789240122383" TargetMode="External"/><Relationship Id="rId5" Type="http://schemas.openxmlformats.org/officeDocument/2006/relationships/hyperlink" Target="https://data.worldbank.org/indicator/SP.DYN.CBRT.IN" TargetMode="External"/><Relationship Id="rId4" Type="http://schemas.openxmlformats.org/officeDocument/2006/relationships/hyperlink" Target="https://www.unfpa.org/data/world-population-dashboard"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642BA-5400-464D-9495-A4CE397DB385}">
  <sheetPr>
    <tabColor rgb="FF92D050"/>
  </sheetPr>
  <dimension ref="A1:R87"/>
  <sheetViews>
    <sheetView showGridLines="0" tabSelected="1" workbookViewId="0">
      <selection activeCell="U84" sqref="U84"/>
    </sheetView>
  </sheetViews>
  <sheetFormatPr defaultRowHeight="14.5" x14ac:dyDescent="0.35"/>
  <cols>
    <col min="1" max="1" width="18.1796875" customWidth="1"/>
  </cols>
  <sheetData>
    <row r="1" spans="1:18" s="53" customFormat="1" ht="31" customHeight="1" x14ac:dyDescent="0.35">
      <c r="A1" s="52" t="s">
        <v>134</v>
      </c>
      <c r="B1" s="52"/>
      <c r="C1" s="52"/>
      <c r="D1" s="52"/>
      <c r="E1" s="52"/>
      <c r="F1" s="52"/>
      <c r="G1" s="52"/>
      <c r="H1" s="52"/>
      <c r="I1" s="52"/>
      <c r="J1" s="52"/>
    </row>
    <row r="3" spans="1:18" s="5" customFormat="1" ht="16" x14ac:dyDescent="0.4">
      <c r="A3" s="5" t="s">
        <v>135</v>
      </c>
      <c r="B3" s="15"/>
    </row>
    <row r="4" spans="1:18" ht="86.5" customHeight="1" x14ac:dyDescent="0.35">
      <c r="A4" s="309" t="s">
        <v>136</v>
      </c>
      <c r="B4" s="309"/>
      <c r="C4" s="309"/>
      <c r="D4" s="309"/>
      <c r="E4" s="309"/>
      <c r="F4" s="309"/>
      <c r="G4" s="309"/>
      <c r="H4" s="309"/>
      <c r="I4" s="309"/>
      <c r="J4" s="309"/>
      <c r="K4" s="309"/>
      <c r="L4" s="309"/>
      <c r="M4" s="309"/>
      <c r="N4" s="309"/>
      <c r="O4" s="309"/>
      <c r="P4" s="309"/>
      <c r="Q4" s="309"/>
      <c r="R4" s="309"/>
    </row>
    <row r="5" spans="1:18" ht="14.5" customHeight="1" x14ac:dyDescent="0.35">
      <c r="A5" s="249"/>
      <c r="B5" s="249"/>
      <c r="C5" s="249"/>
      <c r="D5" s="249"/>
      <c r="E5" s="249"/>
      <c r="F5" s="249"/>
      <c r="G5" s="249"/>
      <c r="H5" s="249"/>
      <c r="I5" s="249"/>
      <c r="J5" s="249"/>
      <c r="K5" s="249"/>
      <c r="L5" s="249"/>
      <c r="M5" s="249"/>
      <c r="N5" s="249"/>
      <c r="O5" s="249"/>
      <c r="P5" s="249"/>
      <c r="Q5" s="249"/>
      <c r="R5" s="249"/>
    </row>
    <row r="6" spans="1:18" ht="26.15" customHeight="1" x14ac:dyDescent="0.35">
      <c r="A6" s="271" t="s">
        <v>137</v>
      </c>
      <c r="B6" s="271"/>
      <c r="C6" s="271"/>
      <c r="D6" s="271"/>
      <c r="E6" s="271"/>
      <c r="F6" s="271"/>
      <c r="G6" s="271"/>
      <c r="H6" s="271"/>
      <c r="I6" s="271"/>
      <c r="J6" s="271"/>
      <c r="K6" s="271"/>
      <c r="L6" s="271"/>
      <c r="M6" s="271"/>
      <c r="N6" s="271"/>
      <c r="O6" s="271"/>
      <c r="P6" s="271"/>
      <c r="Q6" s="271"/>
      <c r="R6" s="271"/>
    </row>
    <row r="7" spans="1:18" ht="14.5" customHeight="1" x14ac:dyDescent="0.35">
      <c r="A7" s="256"/>
      <c r="B7" s="256"/>
      <c r="C7" s="256"/>
      <c r="D7" s="256"/>
      <c r="E7" s="256"/>
      <c r="F7" s="256"/>
      <c r="G7" s="256"/>
      <c r="H7" s="256"/>
      <c r="I7" s="256"/>
      <c r="J7" s="256"/>
      <c r="K7" s="256"/>
      <c r="L7" s="256"/>
      <c r="M7" s="256"/>
      <c r="N7" s="256"/>
      <c r="O7" s="256"/>
      <c r="P7" s="256"/>
      <c r="Q7" s="256"/>
      <c r="R7" s="256"/>
    </row>
    <row r="8" spans="1:18" s="5" customFormat="1" ht="16" x14ac:dyDescent="0.4">
      <c r="A8" s="5" t="s">
        <v>138</v>
      </c>
      <c r="B8" s="15"/>
    </row>
    <row r="9" spans="1:18" s="44" customFormat="1" ht="16" x14ac:dyDescent="0.4">
      <c r="B9" s="54"/>
    </row>
    <row r="10" spans="1:18" s="44" customFormat="1" ht="16" x14ac:dyDescent="0.4">
      <c r="A10" s="58" t="s">
        <v>139</v>
      </c>
      <c r="B10" s="307" t="s">
        <v>140</v>
      </c>
      <c r="C10" s="307"/>
      <c r="D10" s="307"/>
      <c r="E10" s="307"/>
      <c r="F10" s="307"/>
      <c r="G10" s="307"/>
      <c r="H10" s="307"/>
      <c r="I10" s="307"/>
      <c r="J10" s="307"/>
      <c r="K10" s="307"/>
      <c r="L10" s="307"/>
    </row>
    <row r="11" spans="1:18" ht="32.5" customHeight="1" x14ac:dyDescent="0.35">
      <c r="A11" s="55" t="s">
        <v>141</v>
      </c>
      <c r="B11" s="306" t="s">
        <v>142</v>
      </c>
      <c r="C11" s="306"/>
      <c r="D11" s="306"/>
      <c r="E11" s="306"/>
      <c r="F11" s="306"/>
      <c r="G11" s="306"/>
      <c r="H11" s="306"/>
      <c r="I11" s="306"/>
      <c r="J11" s="306"/>
      <c r="K11" s="306"/>
      <c r="L11" s="306"/>
    </row>
    <row r="12" spans="1:18" ht="42.65" customHeight="1" x14ac:dyDescent="0.35">
      <c r="A12" s="26" t="s">
        <v>143</v>
      </c>
      <c r="B12" s="285" t="s">
        <v>144</v>
      </c>
      <c r="C12" s="308"/>
      <c r="D12" s="308"/>
      <c r="E12" s="308"/>
      <c r="F12" s="308"/>
      <c r="G12" s="308"/>
      <c r="H12" s="308"/>
      <c r="I12" s="308"/>
      <c r="J12" s="308"/>
      <c r="K12" s="308"/>
      <c r="L12" s="279"/>
    </row>
    <row r="14" spans="1:18" s="5" customFormat="1" ht="16" x14ac:dyDescent="0.4">
      <c r="A14" s="5" t="s">
        <v>145</v>
      </c>
      <c r="B14" s="15"/>
    </row>
    <row r="15" spans="1:18" s="44" customFormat="1" ht="16" x14ac:dyDescent="0.4">
      <c r="B15" s="54"/>
    </row>
    <row r="16" spans="1:18" s="44" customFormat="1" ht="16" x14ac:dyDescent="0.4">
      <c r="A16" s="294" t="s">
        <v>146</v>
      </c>
      <c r="B16" s="295"/>
      <c r="C16" s="296" t="s">
        <v>147</v>
      </c>
      <c r="D16" s="297"/>
      <c r="E16" s="297"/>
      <c r="F16" s="297"/>
      <c r="G16" s="297"/>
      <c r="H16" s="297"/>
      <c r="I16" s="297"/>
      <c r="J16" s="297"/>
      <c r="K16" s="297"/>
    </row>
    <row r="17" spans="1:14" s="44" customFormat="1" ht="16" x14ac:dyDescent="0.4">
      <c r="A17" s="290" t="s">
        <v>148</v>
      </c>
      <c r="B17" s="291"/>
      <c r="C17" s="298" t="s">
        <v>149</v>
      </c>
      <c r="D17" s="298"/>
      <c r="E17" s="298"/>
      <c r="F17" s="298"/>
      <c r="G17" s="298"/>
      <c r="H17" s="298"/>
      <c r="I17" s="298"/>
      <c r="J17" s="298"/>
      <c r="K17" s="298"/>
    </row>
    <row r="18" spans="1:14" s="44" customFormat="1" ht="29.5" customHeight="1" x14ac:dyDescent="0.4">
      <c r="A18" s="304" t="s">
        <v>150</v>
      </c>
      <c r="B18" s="305"/>
      <c r="C18" s="292" t="s">
        <v>151</v>
      </c>
      <c r="D18" s="292"/>
      <c r="E18" s="292"/>
      <c r="F18" s="292"/>
      <c r="G18" s="292"/>
      <c r="H18" s="292"/>
      <c r="I18" s="292"/>
      <c r="J18" s="292"/>
      <c r="K18" s="292"/>
    </row>
    <row r="19" spans="1:14" s="44" customFormat="1" ht="43.5" customHeight="1" x14ac:dyDescent="0.4">
      <c r="A19" s="290" t="s">
        <v>52</v>
      </c>
      <c r="B19" s="291"/>
      <c r="C19" s="292" t="s">
        <v>152</v>
      </c>
      <c r="D19" s="292"/>
      <c r="E19" s="292"/>
      <c r="F19" s="292"/>
      <c r="G19" s="292"/>
      <c r="H19" s="292"/>
      <c r="I19" s="292"/>
      <c r="J19" s="292"/>
      <c r="K19" s="292"/>
    </row>
    <row r="20" spans="1:14" s="44" customFormat="1" ht="29.15" customHeight="1" x14ac:dyDescent="0.4">
      <c r="A20" s="290" t="s">
        <v>153</v>
      </c>
      <c r="B20" s="291"/>
      <c r="C20" s="292" t="s">
        <v>154</v>
      </c>
      <c r="D20" s="292"/>
      <c r="E20" s="292"/>
      <c r="F20" s="292"/>
      <c r="G20" s="292"/>
      <c r="H20" s="292"/>
      <c r="I20" s="292"/>
      <c r="J20" s="292"/>
      <c r="K20" s="292"/>
    </row>
    <row r="21" spans="1:14" s="44" customFormat="1" ht="16" x14ac:dyDescent="0.4">
      <c r="A21" s="290" t="s">
        <v>155</v>
      </c>
      <c r="B21" s="291"/>
      <c r="C21" s="298" t="s">
        <v>156</v>
      </c>
      <c r="D21" s="298"/>
      <c r="E21" s="298"/>
      <c r="F21" s="298"/>
      <c r="G21" s="298"/>
      <c r="H21" s="298"/>
      <c r="I21" s="298"/>
      <c r="J21" s="298"/>
      <c r="K21" s="298"/>
    </row>
    <row r="22" spans="1:14" s="44" customFormat="1" ht="16" x14ac:dyDescent="0.4">
      <c r="A22" s="290" t="s">
        <v>157</v>
      </c>
      <c r="B22" s="291"/>
      <c r="C22" s="298" t="s">
        <v>158</v>
      </c>
      <c r="D22" s="298"/>
      <c r="E22" s="298"/>
      <c r="F22" s="298"/>
      <c r="G22" s="298"/>
      <c r="H22" s="298"/>
      <c r="I22" s="298"/>
      <c r="J22" s="298"/>
      <c r="K22" s="298"/>
    </row>
    <row r="24" spans="1:14" s="5" customFormat="1" ht="16" x14ac:dyDescent="0.4">
      <c r="A24" s="5" t="s">
        <v>159</v>
      </c>
      <c r="B24" s="15"/>
    </row>
    <row r="26" spans="1:14" x14ac:dyDescent="0.35">
      <c r="A26" s="56" t="s">
        <v>160</v>
      </c>
      <c r="B26" s="303" t="s">
        <v>161</v>
      </c>
      <c r="C26" s="303"/>
      <c r="D26" s="303"/>
      <c r="E26" s="303"/>
      <c r="F26" s="303"/>
      <c r="G26" s="303"/>
      <c r="H26" s="303"/>
      <c r="I26" s="303"/>
      <c r="J26" s="303"/>
      <c r="K26" s="303"/>
      <c r="L26" s="303"/>
      <c r="M26" s="303"/>
      <c r="N26" s="303"/>
    </row>
    <row r="27" spans="1:14" ht="57" customHeight="1" x14ac:dyDescent="0.35">
      <c r="A27" s="56" t="s">
        <v>162</v>
      </c>
      <c r="B27" s="299" t="s">
        <v>163</v>
      </c>
      <c r="C27" s="300"/>
      <c r="D27" s="300"/>
      <c r="E27" s="300"/>
      <c r="F27" s="300"/>
      <c r="G27" s="300"/>
      <c r="H27" s="300"/>
      <c r="I27" s="300"/>
      <c r="J27" s="300"/>
      <c r="K27" s="300"/>
      <c r="L27" s="300"/>
      <c r="M27" s="300"/>
      <c r="N27" s="301"/>
    </row>
    <row r="28" spans="1:14" ht="89.5" customHeight="1" x14ac:dyDescent="0.35">
      <c r="A28" s="56" t="s">
        <v>164</v>
      </c>
      <c r="B28" s="302" t="s">
        <v>165</v>
      </c>
      <c r="C28" s="302"/>
      <c r="D28" s="302"/>
      <c r="E28" s="302"/>
      <c r="F28" s="302"/>
      <c r="G28" s="302"/>
      <c r="H28" s="302"/>
      <c r="I28" s="302"/>
      <c r="J28" s="302"/>
      <c r="K28" s="302"/>
      <c r="L28" s="302"/>
      <c r="M28" s="302"/>
      <c r="N28" s="302"/>
    </row>
    <row r="29" spans="1:14" ht="80.150000000000006" customHeight="1" x14ac:dyDescent="0.35">
      <c r="A29" s="56" t="s">
        <v>166</v>
      </c>
      <c r="B29" s="299" t="s">
        <v>167</v>
      </c>
      <c r="C29" s="300"/>
      <c r="D29" s="300"/>
      <c r="E29" s="300"/>
      <c r="F29" s="300"/>
      <c r="G29" s="300"/>
      <c r="H29" s="300"/>
      <c r="I29" s="300"/>
      <c r="J29" s="300"/>
      <c r="K29" s="300"/>
      <c r="L29" s="300"/>
      <c r="M29" s="300"/>
      <c r="N29" s="301"/>
    </row>
    <row r="30" spans="1:14" ht="93" customHeight="1" x14ac:dyDescent="0.35">
      <c r="A30" s="56" t="s">
        <v>168</v>
      </c>
      <c r="B30" s="299" t="s">
        <v>169</v>
      </c>
      <c r="C30" s="300"/>
      <c r="D30" s="300"/>
      <c r="E30" s="300"/>
      <c r="F30" s="300"/>
      <c r="G30" s="300"/>
      <c r="H30" s="300"/>
      <c r="I30" s="300"/>
      <c r="J30" s="300"/>
      <c r="K30" s="300"/>
      <c r="L30" s="300"/>
      <c r="M30" s="300"/>
      <c r="N30" s="301"/>
    </row>
    <row r="31" spans="1:14" ht="71.5" customHeight="1" x14ac:dyDescent="0.35">
      <c r="A31" s="56" t="s">
        <v>170</v>
      </c>
      <c r="B31" s="299" t="s">
        <v>171</v>
      </c>
      <c r="C31" s="300"/>
      <c r="D31" s="300"/>
      <c r="E31" s="300"/>
      <c r="F31" s="300"/>
      <c r="G31" s="300"/>
      <c r="H31" s="300"/>
      <c r="I31" s="300"/>
      <c r="J31" s="300"/>
      <c r="K31" s="300"/>
      <c r="L31" s="300"/>
      <c r="M31" s="300"/>
      <c r="N31" s="301"/>
    </row>
    <row r="32" spans="1:14" ht="49.5" customHeight="1" x14ac:dyDescent="0.35">
      <c r="A32" s="56" t="s">
        <v>172</v>
      </c>
      <c r="B32" s="302" t="s">
        <v>173</v>
      </c>
      <c r="C32" s="302"/>
      <c r="D32" s="302"/>
      <c r="E32" s="302"/>
      <c r="F32" s="302"/>
      <c r="G32" s="302"/>
      <c r="H32" s="302"/>
      <c r="I32" s="302"/>
      <c r="J32" s="302"/>
      <c r="K32" s="302"/>
      <c r="L32" s="302"/>
      <c r="M32" s="302"/>
      <c r="N32" s="302"/>
    </row>
    <row r="34" spans="1:18" s="5" customFormat="1" ht="16" x14ac:dyDescent="0.4">
      <c r="A34" s="5" t="s">
        <v>174</v>
      </c>
      <c r="B34" s="15"/>
    </row>
    <row r="35" spans="1:18" x14ac:dyDescent="0.35">
      <c r="A35" s="23" t="s">
        <v>177</v>
      </c>
    </row>
    <row r="36" spans="1:18" ht="60" customHeight="1" x14ac:dyDescent="0.35">
      <c r="A36" s="293" t="s">
        <v>178</v>
      </c>
      <c r="B36" s="293"/>
      <c r="C36" s="293"/>
      <c r="D36" s="293"/>
      <c r="E36" s="293"/>
      <c r="F36" s="293"/>
      <c r="G36" s="293"/>
      <c r="H36" s="293"/>
      <c r="I36" s="293"/>
      <c r="J36" s="293"/>
      <c r="K36" s="293"/>
      <c r="L36" s="293"/>
      <c r="M36" s="293"/>
      <c r="N36" s="293"/>
      <c r="O36" s="293"/>
      <c r="P36" s="293"/>
      <c r="Q36" s="293"/>
    </row>
    <row r="37" spans="1:18" ht="195" customHeight="1" x14ac:dyDescent="0.35">
      <c r="A37" s="293" t="s">
        <v>175</v>
      </c>
      <c r="B37" s="293"/>
      <c r="C37" s="293"/>
      <c r="D37" s="293"/>
      <c r="E37" s="293"/>
      <c r="F37" s="293"/>
      <c r="G37" s="293"/>
      <c r="H37" s="293"/>
      <c r="I37" s="293"/>
      <c r="J37" s="293"/>
      <c r="K37" s="293"/>
      <c r="L37" s="293"/>
      <c r="M37" s="293"/>
      <c r="N37" s="293"/>
      <c r="O37" s="293"/>
      <c r="P37" s="293"/>
      <c r="Q37" s="293"/>
      <c r="R37" s="293"/>
    </row>
    <row r="38" spans="1:18" ht="135" customHeight="1" x14ac:dyDescent="0.35">
      <c r="A38" s="293" t="s">
        <v>176</v>
      </c>
      <c r="B38" s="293"/>
      <c r="C38" s="293"/>
      <c r="D38" s="293"/>
      <c r="E38" s="293"/>
      <c r="F38" s="293"/>
      <c r="G38" s="293"/>
      <c r="H38" s="293"/>
      <c r="I38" s="293"/>
      <c r="J38" s="293"/>
      <c r="K38" s="293"/>
      <c r="L38" s="293"/>
      <c r="M38" s="293"/>
      <c r="N38" s="293"/>
      <c r="O38" s="293"/>
      <c r="P38" s="293"/>
      <c r="Q38" s="293"/>
      <c r="R38" s="293"/>
    </row>
    <row r="40" spans="1:18" s="5" customFormat="1" ht="16" x14ac:dyDescent="0.4">
      <c r="A40" s="5" t="s">
        <v>179</v>
      </c>
    </row>
    <row r="42" spans="1:18" x14ac:dyDescent="0.35">
      <c r="A42" s="294" t="s">
        <v>180</v>
      </c>
      <c r="B42" s="295"/>
      <c r="C42" s="296" t="s">
        <v>181</v>
      </c>
      <c r="D42" s="297"/>
      <c r="E42" s="297"/>
      <c r="F42" s="297"/>
      <c r="G42" s="297"/>
      <c r="H42" s="297"/>
      <c r="I42" s="297"/>
      <c r="J42" s="297"/>
      <c r="K42" s="297"/>
    </row>
    <row r="43" spans="1:18" ht="29.15" customHeight="1" x14ac:dyDescent="0.35">
      <c r="A43" s="290" t="s">
        <v>182</v>
      </c>
      <c r="B43" s="291"/>
      <c r="C43" s="292" t="s">
        <v>183</v>
      </c>
      <c r="D43" s="292"/>
      <c r="E43" s="292"/>
      <c r="F43" s="292"/>
      <c r="G43" s="292"/>
      <c r="H43" s="292"/>
      <c r="I43" s="292"/>
      <c r="J43" s="292"/>
      <c r="K43" s="292"/>
    </row>
    <row r="44" spans="1:18" ht="48" customHeight="1" x14ac:dyDescent="0.35">
      <c r="A44" s="290" t="s">
        <v>184</v>
      </c>
      <c r="B44" s="291"/>
      <c r="C44" s="287" t="s">
        <v>185</v>
      </c>
      <c r="D44" s="288"/>
      <c r="E44" s="288"/>
      <c r="F44" s="288"/>
      <c r="G44" s="288"/>
      <c r="H44" s="288"/>
      <c r="I44" s="288"/>
      <c r="J44" s="288"/>
      <c r="K44" s="289"/>
    </row>
    <row r="45" spans="1:18" s="188" customFormat="1" ht="33.65" customHeight="1" x14ac:dyDescent="0.35">
      <c r="A45" s="310" t="s">
        <v>186</v>
      </c>
      <c r="B45" s="311"/>
      <c r="C45" s="312" t="s">
        <v>187</v>
      </c>
      <c r="D45" s="313"/>
      <c r="E45" s="313"/>
      <c r="F45" s="313"/>
      <c r="G45" s="313"/>
      <c r="H45" s="313"/>
      <c r="I45" s="313"/>
      <c r="J45" s="313"/>
      <c r="K45" s="314"/>
    </row>
    <row r="46" spans="1:18" ht="29.15" customHeight="1" x14ac:dyDescent="0.35">
      <c r="A46" s="304" t="s">
        <v>42</v>
      </c>
      <c r="B46" s="305"/>
      <c r="C46" s="292" t="s">
        <v>188</v>
      </c>
      <c r="D46" s="292"/>
      <c r="E46" s="292"/>
      <c r="F46" s="292"/>
      <c r="G46" s="292"/>
      <c r="H46" s="292"/>
      <c r="I46" s="292"/>
      <c r="J46" s="292"/>
      <c r="K46" s="292"/>
    </row>
    <row r="47" spans="1:18" s="188" customFormat="1" ht="29.15" customHeight="1" x14ac:dyDescent="0.35">
      <c r="A47" s="315" t="s">
        <v>95</v>
      </c>
      <c r="B47" s="316"/>
      <c r="C47" s="317" t="s">
        <v>189</v>
      </c>
      <c r="D47" s="317"/>
      <c r="E47" s="317"/>
      <c r="F47" s="317"/>
      <c r="G47" s="317"/>
      <c r="H47" s="317"/>
      <c r="I47" s="317"/>
      <c r="J47" s="317"/>
      <c r="K47" s="317"/>
    </row>
    <row r="48" spans="1:18" ht="29.15" customHeight="1" x14ac:dyDescent="0.35">
      <c r="A48" s="290" t="s">
        <v>190</v>
      </c>
      <c r="B48" s="291"/>
      <c r="C48" s="292" t="s">
        <v>191</v>
      </c>
      <c r="D48" s="292"/>
      <c r="E48" s="292"/>
      <c r="F48" s="292"/>
      <c r="G48" s="292"/>
      <c r="H48" s="292"/>
      <c r="I48" s="292"/>
      <c r="J48" s="292"/>
      <c r="K48" s="292"/>
    </row>
    <row r="49" spans="1:14" ht="29.15" customHeight="1" x14ac:dyDescent="0.35">
      <c r="A49" s="290" t="s">
        <v>192</v>
      </c>
      <c r="B49" s="291"/>
      <c r="C49" s="292" t="s">
        <v>193</v>
      </c>
      <c r="D49" s="292"/>
      <c r="E49" s="292"/>
      <c r="F49" s="292"/>
      <c r="G49" s="292"/>
      <c r="H49" s="292"/>
      <c r="I49" s="292"/>
      <c r="J49" s="292"/>
      <c r="K49" s="292"/>
    </row>
    <row r="50" spans="1:14" ht="43.5" customHeight="1" x14ac:dyDescent="0.35">
      <c r="A50" s="290" t="s">
        <v>194</v>
      </c>
      <c r="B50" s="291"/>
      <c r="C50" s="292" t="s">
        <v>195</v>
      </c>
      <c r="D50" s="292"/>
      <c r="E50" s="292"/>
      <c r="F50" s="292"/>
      <c r="G50" s="292"/>
      <c r="H50" s="292"/>
      <c r="I50" s="292"/>
      <c r="J50" s="292"/>
      <c r="K50" s="292"/>
    </row>
    <row r="51" spans="1:14" ht="31.5" customHeight="1" x14ac:dyDescent="0.35">
      <c r="A51" s="290" t="s">
        <v>196</v>
      </c>
      <c r="B51" s="291"/>
      <c r="C51" s="292" t="s">
        <v>197</v>
      </c>
      <c r="D51" s="292"/>
      <c r="E51" s="292"/>
      <c r="F51" s="292"/>
      <c r="G51" s="292"/>
      <c r="H51" s="292"/>
      <c r="I51" s="292"/>
      <c r="J51" s="292"/>
      <c r="K51" s="292"/>
    </row>
    <row r="52" spans="1:14" ht="45.65" customHeight="1" x14ac:dyDescent="0.35">
      <c r="A52" s="290" t="s">
        <v>198</v>
      </c>
      <c r="B52" s="291"/>
      <c r="C52" s="292" t="s">
        <v>199</v>
      </c>
      <c r="D52" s="292"/>
      <c r="E52" s="292"/>
      <c r="F52" s="292"/>
      <c r="G52" s="292"/>
      <c r="H52" s="292"/>
      <c r="I52" s="292"/>
      <c r="J52" s="292"/>
      <c r="K52" s="292"/>
    </row>
    <row r="53" spans="1:14" ht="29.15" customHeight="1" x14ac:dyDescent="0.35">
      <c r="A53" s="290" t="s">
        <v>81</v>
      </c>
      <c r="B53" s="291"/>
      <c r="C53" s="292" t="s">
        <v>200</v>
      </c>
      <c r="D53" s="292"/>
      <c r="E53" s="292"/>
      <c r="F53" s="292"/>
      <c r="G53" s="292"/>
      <c r="H53" s="292"/>
      <c r="I53" s="292"/>
      <c r="J53" s="292"/>
      <c r="K53" s="292"/>
    </row>
    <row r="54" spans="1:14" ht="29.15" customHeight="1" x14ac:dyDescent="0.35">
      <c r="A54" s="290" t="s">
        <v>82</v>
      </c>
      <c r="B54" s="291"/>
      <c r="C54" s="292" t="s">
        <v>201</v>
      </c>
      <c r="D54" s="292"/>
      <c r="E54" s="292"/>
      <c r="F54" s="292"/>
      <c r="G54" s="292"/>
      <c r="H54" s="292"/>
      <c r="I54" s="292"/>
      <c r="J54" s="292"/>
      <c r="K54" s="292"/>
    </row>
    <row r="55" spans="1:14" ht="29.15" customHeight="1" x14ac:dyDescent="0.35">
      <c r="A55" s="290" t="s">
        <v>83</v>
      </c>
      <c r="B55" s="291"/>
      <c r="C55" s="292" t="s">
        <v>202</v>
      </c>
      <c r="D55" s="292"/>
      <c r="E55" s="292"/>
      <c r="F55" s="292"/>
      <c r="G55" s="292"/>
      <c r="H55" s="292"/>
      <c r="I55" s="292"/>
      <c r="J55" s="292"/>
      <c r="K55" s="292"/>
    </row>
    <row r="56" spans="1:14" ht="29.15" customHeight="1" x14ac:dyDescent="0.35">
      <c r="A56" s="290" t="s">
        <v>84</v>
      </c>
      <c r="B56" s="291"/>
      <c r="C56" s="292" t="s">
        <v>203</v>
      </c>
      <c r="D56" s="292"/>
      <c r="E56" s="292"/>
      <c r="F56" s="292"/>
      <c r="G56" s="292"/>
      <c r="H56" s="292"/>
      <c r="I56" s="292"/>
      <c r="J56" s="292"/>
      <c r="K56" s="292"/>
    </row>
    <row r="57" spans="1:14" ht="29.15" customHeight="1" x14ac:dyDescent="0.35">
      <c r="A57" s="290" t="s">
        <v>85</v>
      </c>
      <c r="B57" s="291"/>
      <c r="C57" s="292" t="s">
        <v>204</v>
      </c>
      <c r="D57" s="292"/>
      <c r="E57" s="292"/>
      <c r="F57" s="292"/>
      <c r="G57" s="292"/>
      <c r="H57" s="292"/>
      <c r="I57" s="292"/>
      <c r="J57" s="292"/>
      <c r="K57" s="292"/>
    </row>
    <row r="58" spans="1:14" ht="29.15" customHeight="1" x14ac:dyDescent="0.35">
      <c r="A58" s="290" t="s">
        <v>86</v>
      </c>
      <c r="B58" s="291"/>
      <c r="C58" s="292" t="s">
        <v>205</v>
      </c>
      <c r="D58" s="292"/>
      <c r="E58" s="292"/>
      <c r="F58" s="292"/>
      <c r="G58" s="292"/>
      <c r="H58" s="292"/>
      <c r="I58" s="292"/>
      <c r="J58" s="292"/>
      <c r="K58" s="292"/>
    </row>
    <row r="59" spans="1:14" ht="29.15" customHeight="1" x14ac:dyDescent="0.35">
      <c r="A59" s="290" t="s">
        <v>51</v>
      </c>
      <c r="B59" s="291"/>
      <c r="C59" s="292" t="s">
        <v>206</v>
      </c>
      <c r="D59" s="292"/>
      <c r="E59" s="292"/>
      <c r="F59" s="292"/>
      <c r="G59" s="292"/>
      <c r="H59" s="292"/>
      <c r="I59" s="292"/>
      <c r="J59" s="292"/>
      <c r="K59" s="292"/>
    </row>
    <row r="60" spans="1:14" ht="58.5" customHeight="1" x14ac:dyDescent="0.35">
      <c r="A60" s="290" t="s">
        <v>207</v>
      </c>
      <c r="B60" s="291"/>
      <c r="C60" s="292" t="s">
        <v>208</v>
      </c>
      <c r="D60" s="292"/>
      <c r="E60" s="292"/>
      <c r="F60" s="292"/>
      <c r="G60" s="292"/>
      <c r="H60" s="292"/>
      <c r="I60" s="292"/>
      <c r="J60" s="292"/>
      <c r="K60" s="292"/>
    </row>
    <row r="61" spans="1:14" ht="29.15" customHeight="1" x14ac:dyDescent="0.35">
      <c r="A61" s="290" t="s">
        <v>209</v>
      </c>
      <c r="B61" s="291"/>
      <c r="C61" s="292" t="s">
        <v>210</v>
      </c>
      <c r="D61" s="292"/>
      <c r="E61" s="292"/>
      <c r="F61" s="292"/>
      <c r="G61" s="292"/>
      <c r="H61" s="292"/>
      <c r="I61" s="292"/>
      <c r="J61" s="292"/>
      <c r="K61" s="292"/>
    </row>
    <row r="63" spans="1:14" s="5" customFormat="1" ht="16" x14ac:dyDescent="0.4">
      <c r="A63" s="5" t="s">
        <v>211</v>
      </c>
    </row>
    <row r="64" spans="1:14" s="44" customFormat="1" ht="30" customHeight="1" x14ac:dyDescent="0.4">
      <c r="A64" s="319" t="s">
        <v>212</v>
      </c>
      <c r="B64" s="320"/>
      <c r="C64" s="320"/>
      <c r="D64" s="320"/>
      <c r="E64" s="320"/>
      <c r="F64" s="320"/>
      <c r="G64" s="320"/>
      <c r="H64" s="320"/>
      <c r="I64" s="320"/>
      <c r="J64" s="320"/>
      <c r="K64" s="320"/>
      <c r="L64" s="320"/>
      <c r="M64" s="320"/>
      <c r="N64" s="320"/>
    </row>
    <row r="66" spans="1:16" x14ac:dyDescent="0.35">
      <c r="A66" s="318" t="s">
        <v>213</v>
      </c>
      <c r="B66" s="318"/>
      <c r="C66" s="318" t="s">
        <v>53</v>
      </c>
      <c r="D66" s="318"/>
      <c r="E66" s="318"/>
      <c r="F66" s="318"/>
      <c r="G66" s="318"/>
      <c r="H66" s="318"/>
      <c r="I66" s="318" t="s">
        <v>54</v>
      </c>
      <c r="J66" s="318"/>
      <c r="K66" s="318"/>
      <c r="L66" s="318"/>
      <c r="M66" s="318"/>
      <c r="N66" s="318"/>
    </row>
    <row r="67" spans="1:16" ht="60" customHeight="1" x14ac:dyDescent="0.35">
      <c r="A67" s="285" t="s">
        <v>214</v>
      </c>
      <c r="B67" s="279"/>
      <c r="C67" s="286" t="s">
        <v>215</v>
      </c>
      <c r="D67" s="286"/>
      <c r="E67" s="286"/>
      <c r="F67" s="286"/>
      <c r="G67" s="286"/>
      <c r="H67" s="286"/>
      <c r="I67" s="286" t="s">
        <v>216</v>
      </c>
      <c r="J67" s="286"/>
      <c r="K67" s="286"/>
      <c r="L67" s="286"/>
      <c r="M67" s="286"/>
      <c r="N67" s="286"/>
    </row>
    <row r="68" spans="1:16" ht="60" customHeight="1" x14ac:dyDescent="0.35">
      <c r="A68" s="285" t="s">
        <v>217</v>
      </c>
      <c r="B68" s="279"/>
      <c r="C68" s="286" t="s">
        <v>218</v>
      </c>
      <c r="D68" s="286"/>
      <c r="E68" s="286"/>
      <c r="F68" s="286"/>
      <c r="G68" s="286"/>
      <c r="H68" s="286"/>
      <c r="I68" s="286" t="s">
        <v>219</v>
      </c>
      <c r="J68" s="286"/>
      <c r="K68" s="286"/>
      <c r="L68" s="286"/>
      <c r="M68" s="286"/>
      <c r="N68" s="286"/>
    </row>
    <row r="69" spans="1:16" ht="90" customHeight="1" x14ac:dyDescent="0.35">
      <c r="A69" s="285" t="s">
        <v>220</v>
      </c>
      <c r="B69" s="279"/>
      <c r="C69" s="286" t="s">
        <v>221</v>
      </c>
      <c r="D69" s="286"/>
      <c r="E69" s="286"/>
      <c r="F69" s="286"/>
      <c r="G69" s="286"/>
      <c r="H69" s="286"/>
      <c r="I69" s="286" t="s">
        <v>222</v>
      </c>
      <c r="J69" s="286"/>
      <c r="K69" s="286"/>
      <c r="L69" s="286"/>
      <c r="M69" s="286"/>
      <c r="N69" s="286"/>
    </row>
    <row r="70" spans="1:16" ht="90" customHeight="1" x14ac:dyDescent="0.35">
      <c r="A70" s="285" t="s">
        <v>223</v>
      </c>
      <c r="B70" s="279"/>
      <c r="C70" s="286" t="s">
        <v>224</v>
      </c>
      <c r="D70" s="286"/>
      <c r="E70" s="286"/>
      <c r="F70" s="286"/>
      <c r="G70" s="286"/>
      <c r="H70" s="286"/>
      <c r="I70" s="286" t="s">
        <v>225</v>
      </c>
      <c r="J70" s="286"/>
      <c r="K70" s="286"/>
      <c r="L70" s="286"/>
      <c r="M70" s="286"/>
      <c r="N70" s="286"/>
    </row>
    <row r="71" spans="1:16" ht="90" customHeight="1" x14ac:dyDescent="0.35">
      <c r="A71" s="285" t="s">
        <v>226</v>
      </c>
      <c r="B71" s="279"/>
      <c r="C71" s="286" t="s">
        <v>227</v>
      </c>
      <c r="D71" s="286"/>
      <c r="E71" s="286"/>
      <c r="F71" s="286"/>
      <c r="G71" s="286"/>
      <c r="H71" s="286"/>
      <c r="I71" s="286" t="s">
        <v>228</v>
      </c>
      <c r="J71" s="286"/>
      <c r="K71" s="286"/>
      <c r="L71" s="286"/>
      <c r="M71" s="286"/>
      <c r="N71" s="286"/>
    </row>
    <row r="72" spans="1:16" ht="90" customHeight="1" x14ac:dyDescent="0.35">
      <c r="A72" s="285" t="s">
        <v>229</v>
      </c>
      <c r="B72" s="279"/>
      <c r="C72" s="286" t="s">
        <v>230</v>
      </c>
      <c r="D72" s="286"/>
      <c r="E72" s="286"/>
      <c r="F72" s="286"/>
      <c r="G72" s="286"/>
      <c r="H72" s="286"/>
      <c r="I72" s="286" t="s">
        <v>231</v>
      </c>
      <c r="J72" s="286"/>
      <c r="K72" s="286"/>
      <c r="L72" s="286"/>
      <c r="M72" s="286"/>
      <c r="N72" s="286"/>
    </row>
    <row r="74" spans="1:16" s="5" customFormat="1" ht="16" x14ac:dyDescent="0.4">
      <c r="A74" s="5" t="s">
        <v>232</v>
      </c>
    </row>
    <row r="76" spans="1:16" ht="36" customHeight="1" x14ac:dyDescent="0.35">
      <c r="A76" s="246" t="s">
        <v>233</v>
      </c>
      <c r="B76" s="279" t="s">
        <v>234</v>
      </c>
      <c r="C76" s="280"/>
      <c r="D76" s="280"/>
      <c r="E76" s="280"/>
      <c r="F76" s="280"/>
      <c r="G76" s="280"/>
      <c r="H76" s="280"/>
      <c r="I76" s="280"/>
      <c r="J76" s="280"/>
      <c r="K76" s="280"/>
      <c r="L76" s="280"/>
      <c r="M76" s="280"/>
      <c r="N76" s="280"/>
      <c r="O76" s="280"/>
      <c r="P76" s="280"/>
    </row>
    <row r="77" spans="1:16" ht="14.5" customHeight="1" x14ac:dyDescent="0.35">
      <c r="A77" s="247" t="s">
        <v>14</v>
      </c>
      <c r="B77" s="284" t="s">
        <v>235</v>
      </c>
      <c r="C77" s="281"/>
      <c r="D77" s="281"/>
      <c r="E77" s="281"/>
      <c r="F77" s="281"/>
      <c r="G77" s="281"/>
      <c r="H77" s="281"/>
      <c r="I77" s="281"/>
      <c r="J77" s="281"/>
      <c r="K77" s="281"/>
      <c r="L77" s="281"/>
      <c r="M77" s="281"/>
      <c r="N77" s="281"/>
      <c r="O77" s="281"/>
      <c r="P77" s="281"/>
    </row>
    <row r="78" spans="1:16" ht="14.5" customHeight="1" x14ac:dyDescent="0.35">
      <c r="A78" s="248" t="s">
        <v>236</v>
      </c>
      <c r="B78" s="283" t="s">
        <v>237</v>
      </c>
      <c r="C78" s="283"/>
      <c r="D78" s="283"/>
      <c r="E78" s="283"/>
      <c r="F78" s="283"/>
      <c r="G78" s="283"/>
      <c r="H78" s="283"/>
      <c r="I78" s="283"/>
      <c r="J78" s="283"/>
      <c r="K78" s="283"/>
      <c r="L78" s="283"/>
      <c r="M78" s="283"/>
      <c r="N78" s="283"/>
      <c r="O78" s="283"/>
      <c r="P78" s="283"/>
    </row>
    <row r="79" spans="1:16" ht="43.5" x14ac:dyDescent="0.35">
      <c r="A79" s="25" t="s">
        <v>238</v>
      </c>
      <c r="B79" s="281" t="s">
        <v>239</v>
      </c>
      <c r="C79" s="281"/>
      <c r="D79" s="281"/>
      <c r="E79" s="281"/>
      <c r="F79" s="281"/>
      <c r="G79" s="281"/>
      <c r="H79" s="281"/>
      <c r="I79" s="281"/>
      <c r="J79" s="281"/>
      <c r="K79" s="281"/>
      <c r="L79" s="281"/>
      <c r="M79" s="281"/>
      <c r="N79" s="281"/>
      <c r="O79" s="281"/>
      <c r="P79" s="281"/>
    </row>
    <row r="80" spans="1:16" ht="43.5" x14ac:dyDescent="0.35">
      <c r="A80" s="244" t="s">
        <v>240</v>
      </c>
      <c r="B80" s="282" t="s">
        <v>241</v>
      </c>
      <c r="C80" s="282"/>
      <c r="D80" s="282"/>
      <c r="E80" s="282"/>
      <c r="F80" s="282"/>
      <c r="G80" s="282"/>
      <c r="H80" s="282"/>
      <c r="I80" s="282"/>
      <c r="J80" s="282"/>
      <c r="K80" s="282"/>
      <c r="L80" s="282"/>
      <c r="M80" s="282"/>
      <c r="N80" s="282"/>
      <c r="O80" s="282"/>
      <c r="P80" s="282"/>
    </row>
    <row r="81" spans="1:16" ht="43.5" x14ac:dyDescent="0.35">
      <c r="A81" s="172" t="s">
        <v>242</v>
      </c>
      <c r="B81" s="282" t="s">
        <v>243</v>
      </c>
      <c r="C81" s="282"/>
      <c r="D81" s="282"/>
      <c r="E81" s="282"/>
      <c r="F81" s="282"/>
      <c r="G81" s="282"/>
      <c r="H81" s="282"/>
      <c r="I81" s="282"/>
      <c r="J81" s="282"/>
      <c r="K81" s="282"/>
      <c r="L81" s="282"/>
      <c r="M81" s="282"/>
      <c r="N81" s="282"/>
      <c r="O81" s="282"/>
      <c r="P81" s="282"/>
    </row>
    <row r="82" spans="1:16" ht="59.15" customHeight="1" x14ac:dyDescent="0.35">
      <c r="A82" s="268" t="s">
        <v>244</v>
      </c>
      <c r="B82" s="272" t="s">
        <v>245</v>
      </c>
      <c r="C82" s="263"/>
      <c r="D82" s="263"/>
      <c r="E82" s="263"/>
      <c r="F82" s="263"/>
      <c r="G82" s="263"/>
      <c r="H82" s="263"/>
      <c r="I82" s="263"/>
      <c r="J82" s="263"/>
      <c r="K82" s="263"/>
      <c r="L82" s="263"/>
      <c r="M82" s="263"/>
      <c r="N82" s="263"/>
      <c r="O82" s="263"/>
      <c r="P82" s="264"/>
    </row>
    <row r="83" spans="1:16" x14ac:dyDescent="0.35">
      <c r="A83" s="269"/>
      <c r="B83" s="273" t="s">
        <v>125</v>
      </c>
      <c r="C83" s="274"/>
      <c r="D83" s="274"/>
      <c r="E83" s="274"/>
      <c r="F83" s="274"/>
      <c r="G83" s="274"/>
      <c r="H83" s="274"/>
      <c r="I83" s="274"/>
      <c r="J83" s="274"/>
      <c r="K83" s="274"/>
      <c r="L83" s="274"/>
      <c r="M83" s="274"/>
      <c r="N83" s="274"/>
      <c r="O83" s="274"/>
      <c r="P83" s="275"/>
    </row>
    <row r="84" spans="1:16" x14ac:dyDescent="0.35">
      <c r="A84" s="270"/>
      <c r="B84" s="276" t="s">
        <v>246</v>
      </c>
      <c r="C84" s="277"/>
      <c r="D84" s="277"/>
      <c r="E84" s="277"/>
      <c r="F84" s="277"/>
      <c r="G84" s="277"/>
      <c r="H84" s="277"/>
      <c r="I84" s="277"/>
      <c r="J84" s="277"/>
      <c r="K84" s="277"/>
      <c r="L84" s="277"/>
      <c r="M84" s="277"/>
      <c r="N84" s="277"/>
      <c r="O84" s="277"/>
      <c r="P84" s="278"/>
    </row>
    <row r="85" spans="1:16" ht="29.15" customHeight="1" x14ac:dyDescent="0.35">
      <c r="A85" s="268" t="s">
        <v>247</v>
      </c>
      <c r="B85" s="263" t="s">
        <v>248</v>
      </c>
      <c r="C85" s="263"/>
      <c r="D85" s="263"/>
      <c r="E85" s="263"/>
      <c r="F85" s="263"/>
      <c r="G85" s="263"/>
      <c r="H85" s="263"/>
      <c r="I85" s="263"/>
      <c r="J85" s="263"/>
      <c r="K85" s="263"/>
      <c r="L85" s="263"/>
      <c r="M85" s="263"/>
      <c r="N85" s="263"/>
      <c r="O85" s="263"/>
      <c r="P85" s="264"/>
    </row>
    <row r="86" spans="1:16" x14ac:dyDescent="0.35">
      <c r="A86" s="269"/>
      <c r="B86" s="253" t="s">
        <v>126</v>
      </c>
      <c r="C86" s="254"/>
      <c r="D86" s="254"/>
      <c r="E86" s="254"/>
      <c r="F86" s="254"/>
      <c r="G86" s="254"/>
      <c r="H86" s="254"/>
      <c r="I86" s="254"/>
      <c r="J86" s="254"/>
      <c r="K86" s="254"/>
      <c r="L86" s="254"/>
      <c r="M86" s="254"/>
      <c r="N86" s="254"/>
      <c r="O86" s="254"/>
      <c r="P86" s="255"/>
    </row>
    <row r="87" spans="1:16" ht="31" customHeight="1" x14ac:dyDescent="0.35">
      <c r="A87" s="270"/>
      <c r="B87" s="265" t="s">
        <v>249</v>
      </c>
      <c r="C87" s="266"/>
      <c r="D87" s="266"/>
      <c r="E87" s="266"/>
      <c r="F87" s="266"/>
      <c r="G87" s="266"/>
      <c r="H87" s="266"/>
      <c r="I87" s="266"/>
      <c r="J87" s="266"/>
      <c r="K87" s="266"/>
      <c r="L87" s="266"/>
      <c r="M87" s="266"/>
      <c r="N87" s="266"/>
      <c r="O87" s="266"/>
      <c r="P87" s="267"/>
    </row>
  </sheetData>
  <sheetProtection sheet="1" formatColumns="0" formatRows="0" selectLockedCells="1" selectUnlockedCells="1"/>
  <mergeCells count="104">
    <mergeCell ref="B11:L11"/>
    <mergeCell ref="B10:L10"/>
    <mergeCell ref="B12:L12"/>
    <mergeCell ref="A4:R4"/>
    <mergeCell ref="A16:B16"/>
    <mergeCell ref="C16:K16"/>
    <mergeCell ref="A69:B69"/>
    <mergeCell ref="A67:B67"/>
    <mergeCell ref="C67:H67"/>
    <mergeCell ref="I67:N67"/>
    <mergeCell ref="A68:B68"/>
    <mergeCell ref="C68:H68"/>
    <mergeCell ref="I68:N68"/>
    <mergeCell ref="C69:H69"/>
    <mergeCell ref="I69:N69"/>
    <mergeCell ref="A45:B45"/>
    <mergeCell ref="C45:K45"/>
    <mergeCell ref="A47:B47"/>
    <mergeCell ref="C47:K47"/>
    <mergeCell ref="A66:B66"/>
    <mergeCell ref="C66:H66"/>
    <mergeCell ref="I66:N66"/>
    <mergeCell ref="A64:N64"/>
    <mergeCell ref="A46:B46"/>
    <mergeCell ref="C21:K21"/>
    <mergeCell ref="A17:B17"/>
    <mergeCell ref="A18:B18"/>
    <mergeCell ref="A19:B19"/>
    <mergeCell ref="A20:B20"/>
    <mergeCell ref="A21:B21"/>
    <mergeCell ref="C17:K17"/>
    <mergeCell ref="C18:K18"/>
    <mergeCell ref="C19:K19"/>
    <mergeCell ref="C20:K20"/>
    <mergeCell ref="A22:B22"/>
    <mergeCell ref="C22:K22"/>
    <mergeCell ref="B31:N31"/>
    <mergeCell ref="B32:N32"/>
    <mergeCell ref="A36:Q36"/>
    <mergeCell ref="B26:N26"/>
    <mergeCell ref="B27:N27"/>
    <mergeCell ref="B28:N28"/>
    <mergeCell ref="B29:N29"/>
    <mergeCell ref="B30:N30"/>
    <mergeCell ref="A61:B61"/>
    <mergeCell ref="C61:K61"/>
    <mergeCell ref="A56:B56"/>
    <mergeCell ref="C56:K56"/>
    <mergeCell ref="A57:B57"/>
    <mergeCell ref="C57:K57"/>
    <mergeCell ref="A58:B58"/>
    <mergeCell ref="C58:K58"/>
    <mergeCell ref="A37:R37"/>
    <mergeCell ref="A38:R38"/>
    <mergeCell ref="A42:B42"/>
    <mergeCell ref="C42:K42"/>
    <mergeCell ref="A43:B43"/>
    <mergeCell ref="C43:K43"/>
    <mergeCell ref="C46:K46"/>
    <mergeCell ref="A48:B48"/>
    <mergeCell ref="C48:K48"/>
    <mergeCell ref="A49:B49"/>
    <mergeCell ref="C49:K49"/>
    <mergeCell ref="A50:B50"/>
    <mergeCell ref="C50:K50"/>
    <mergeCell ref="A44:B44"/>
    <mergeCell ref="A59:B59"/>
    <mergeCell ref="C59:K59"/>
    <mergeCell ref="A60:B60"/>
    <mergeCell ref="C60:K60"/>
    <mergeCell ref="A51:B51"/>
    <mergeCell ref="C51:K51"/>
    <mergeCell ref="A52:B52"/>
    <mergeCell ref="C52:K52"/>
    <mergeCell ref="A53:B53"/>
    <mergeCell ref="C53:K53"/>
    <mergeCell ref="A54:B54"/>
    <mergeCell ref="C54:K54"/>
    <mergeCell ref="A55:B55"/>
    <mergeCell ref="C55:K55"/>
    <mergeCell ref="B85:P85"/>
    <mergeCell ref="B87:P87"/>
    <mergeCell ref="A85:A87"/>
    <mergeCell ref="A6:R6"/>
    <mergeCell ref="B82:P82"/>
    <mergeCell ref="B83:P83"/>
    <mergeCell ref="A82:A84"/>
    <mergeCell ref="B84:P84"/>
    <mergeCell ref="B76:P76"/>
    <mergeCell ref="B79:P79"/>
    <mergeCell ref="B80:P80"/>
    <mergeCell ref="B81:P81"/>
    <mergeCell ref="B78:P78"/>
    <mergeCell ref="B77:P77"/>
    <mergeCell ref="A72:B72"/>
    <mergeCell ref="C72:H72"/>
    <mergeCell ref="I72:N72"/>
    <mergeCell ref="A70:B70"/>
    <mergeCell ref="C70:H70"/>
    <mergeCell ref="I70:N70"/>
    <mergeCell ref="A71:B71"/>
    <mergeCell ref="C71:H71"/>
    <mergeCell ref="I71:N71"/>
    <mergeCell ref="C44:K44"/>
  </mergeCells>
  <hyperlinks>
    <hyperlink ref="B81:P81" r:id="rId1" display="WHO Global Health Observatory, &quot;Syphilis, antenatal care attendees positive for syphilis who received treatment (%), reported&quot;" xr:uid="{EA8E51E6-D36B-4B8D-8561-DB117F75BBFD}"/>
    <hyperlink ref="B79:P79" r:id="rId2" display="WHO Global Health Observatory, &quot;Syphilis, antenatal care attendees who were positive for syphilis (%), reported&quot;" xr:uid="{70325EE5-CE2F-4EBA-B48C-72264B301054}"/>
    <hyperlink ref="B80:P80" r:id="rId3" display="WHO Global Health Observatory, &quot;Syphilis ANC: Women accessing antenatal care (ANC) services who were tested for syphilis (%), reported&quot;" xr:uid="{F0860FFE-9E99-4CDD-ADC2-2D8B8393A2DA}"/>
    <hyperlink ref="B77:P77" r:id="rId4" display="UNFPA World Population Dashboard" xr:uid="{12711990-05AD-455C-B398-4D30FAA491A0}"/>
    <hyperlink ref="B78:P78" r:id="rId5" display="World Bank: Birth rate, crude (per 1,000 people)" xr:uid="{57FA570C-55DE-4E42-9A6A-BB4222CDC1FC}"/>
    <hyperlink ref="B83:P83" r:id="rId6" display="https://www.who.int/publications/i/item/9789240122383" xr:uid="{CF6B288C-8621-41D1-AD61-859E7EF18A5E}"/>
    <hyperlink ref="B84:P84" r:id="rId7" display="Nigeria 7.2% estimate: https://journals.sagepub.com/doi/10.1177/09564624211035922" xr:uid="{F78F74B8-D7A3-4DBB-AC0E-075758C2E203}"/>
    <hyperlink ref="B86" r:id="rId8" xr:uid="{C0B1E6D3-B81E-497C-A536-292F02818CE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AF002-0A5F-4AEB-93EB-6DD59AA2882D}">
  <dimension ref="A1:J45"/>
  <sheetViews>
    <sheetView topLeftCell="C10" workbookViewId="0">
      <selection activeCell="M8" sqref="M8"/>
    </sheetView>
  </sheetViews>
  <sheetFormatPr defaultRowHeight="14.5" x14ac:dyDescent="0.35"/>
  <cols>
    <col min="1" max="1" width="12.81640625" customWidth="1"/>
    <col min="2" max="2" width="5" bestFit="1" customWidth="1"/>
    <col min="3" max="3" width="23.54296875" bestFit="1" customWidth="1"/>
    <col min="4" max="4" width="25.7265625" customWidth="1"/>
    <col min="5" max="5" width="12.7265625" customWidth="1"/>
    <col min="6" max="6" width="12.1796875" customWidth="1"/>
    <col min="7" max="7" width="16.54296875" customWidth="1"/>
    <col min="8" max="8" width="14.26953125" bestFit="1" customWidth="1"/>
    <col min="9" max="9" width="11.1796875" bestFit="1" customWidth="1"/>
    <col min="10" max="10" width="18.453125" customWidth="1"/>
  </cols>
  <sheetData>
    <row r="1" spans="1:10" s="11" customFormat="1" ht="28.5" customHeight="1" x14ac:dyDescent="0.35">
      <c r="A1" s="11" t="s">
        <v>63</v>
      </c>
    </row>
    <row r="2" spans="1:10" s="12" customFormat="1" ht="14.5" customHeight="1" x14ac:dyDescent="0.35"/>
    <row r="3" spans="1:10" s="84" customFormat="1" ht="14.5" customHeight="1" x14ac:dyDescent="0.35">
      <c r="A3" s="83" t="s">
        <v>113</v>
      </c>
    </row>
    <row r="4" spans="1:10" s="12" customFormat="1" ht="14.5" customHeight="1" x14ac:dyDescent="0.35"/>
    <row r="5" spans="1:10" ht="29" x14ac:dyDescent="0.35">
      <c r="A5" s="57" t="s">
        <v>19</v>
      </c>
      <c r="B5" s="57" t="s">
        <v>20</v>
      </c>
      <c r="C5" s="57" t="s">
        <v>128</v>
      </c>
      <c r="D5" s="57" t="s">
        <v>21</v>
      </c>
      <c r="E5" s="57" t="s">
        <v>110</v>
      </c>
      <c r="F5" s="57" t="s">
        <v>47</v>
      </c>
      <c r="G5" s="57" t="s">
        <v>57</v>
      </c>
      <c r="H5" s="57" t="s">
        <v>58</v>
      </c>
      <c r="I5" s="57" t="s">
        <v>59</v>
      </c>
      <c r="J5" s="57" t="s">
        <v>119</v>
      </c>
    </row>
    <row r="6" spans="1:10" x14ac:dyDescent="0.35">
      <c r="A6" s="13" t="s">
        <v>25</v>
      </c>
      <c r="B6" s="13">
        <v>1</v>
      </c>
      <c r="C6" s="14" t="e">
        <f>IF(ANC_DualTest_Share_Y1=100,"",ANC_Population/4*(1-(ANC_DualTest_Share_Y1/100)))</f>
        <v>#VALUE!</v>
      </c>
      <c r="D6" s="14">
        <f>Y1_Screening_Target</f>
        <v>0</v>
      </c>
      <c r="E6" s="14" t="e">
        <f t="shared" ref="E6:E17" si="0">C6*(D6/100)*Tests_Per_Pregnancy</f>
        <v>#VALUE!</v>
      </c>
      <c r="F6" s="14">
        <f t="shared" ref="F6:F17" si="1">IF(Partners_Tested_Rate="", 0, (C6*(D6/100)*(Syphilis_Prevalence/100))*Partners_Tested_Rate)</f>
        <v>0</v>
      </c>
      <c r="G6" s="14" t="e">
        <f>E6+F6</f>
        <v>#VALUE!</v>
      </c>
      <c r="H6" s="14" t="e">
        <f>(G6/3)*TripleTest_Buffer</f>
        <v>#VALUE!</v>
      </c>
      <c r="I6" s="14" t="e">
        <f t="shared" ref="I6:I17" si="2">(G6+H6)*(TripleTest_Wastage_Rate/100)</f>
        <v>#VALUE!</v>
      </c>
      <c r="J6" s="14" t="e">
        <f>G6+H6+I6</f>
        <v>#VALUE!</v>
      </c>
    </row>
    <row r="7" spans="1:10" x14ac:dyDescent="0.35">
      <c r="A7" s="13" t="s">
        <v>26</v>
      </c>
      <c r="B7" s="13">
        <v>1</v>
      </c>
      <c r="C7" s="14" t="e">
        <f>IF(ANC_DualTest_Share_Y1=100,"",ANC_Population/4*(1-(ANC_DualTest_Share_Y1/100)))</f>
        <v>#VALUE!</v>
      </c>
      <c r="D7" s="14">
        <f>Y1_Screening_Target</f>
        <v>0</v>
      </c>
      <c r="E7" s="14" t="e">
        <f t="shared" si="0"/>
        <v>#VALUE!</v>
      </c>
      <c r="F7" s="14">
        <f t="shared" si="1"/>
        <v>0</v>
      </c>
      <c r="G7" s="14" t="e">
        <f t="shared" ref="G7:G17" si="3">E7+F7</f>
        <v>#VALUE!</v>
      </c>
      <c r="H7" s="14">
        <v>0</v>
      </c>
      <c r="I7" s="14" t="e">
        <f t="shared" si="2"/>
        <v>#VALUE!</v>
      </c>
      <c r="J7" s="14" t="e">
        <f t="shared" ref="J7:J17" si="4">G7+H7+I7</f>
        <v>#VALUE!</v>
      </c>
    </row>
    <row r="8" spans="1:10" x14ac:dyDescent="0.35">
      <c r="A8" s="13" t="s">
        <v>27</v>
      </c>
      <c r="B8" s="13">
        <v>1</v>
      </c>
      <c r="C8" s="14" t="e">
        <f>IF(ANC_DualTest_Share_Y1=100,"",ANC_Population/4*(1-(ANC_DualTest_Share_Y1/100)))</f>
        <v>#VALUE!</v>
      </c>
      <c r="D8" s="14">
        <f>Y1_Screening_Target</f>
        <v>0</v>
      </c>
      <c r="E8" s="14" t="e">
        <f t="shared" si="0"/>
        <v>#VALUE!</v>
      </c>
      <c r="F8" s="14">
        <f t="shared" si="1"/>
        <v>0</v>
      </c>
      <c r="G8" s="14" t="e">
        <f t="shared" si="3"/>
        <v>#VALUE!</v>
      </c>
      <c r="H8" s="14">
        <v>0</v>
      </c>
      <c r="I8" s="14" t="e">
        <f t="shared" si="2"/>
        <v>#VALUE!</v>
      </c>
      <c r="J8" s="14" t="e">
        <f t="shared" si="4"/>
        <v>#VALUE!</v>
      </c>
    </row>
    <row r="9" spans="1:10" x14ac:dyDescent="0.35">
      <c r="A9" s="13" t="s">
        <v>28</v>
      </c>
      <c r="B9" s="13">
        <v>1</v>
      </c>
      <c r="C9" s="14" t="e">
        <f>IF(ANC_DualTest_Share_Y1=100,"",ANC_Population/4*(1-(ANC_DualTest_Share_Y1/100)))</f>
        <v>#VALUE!</v>
      </c>
      <c r="D9" s="14">
        <f>Y1_Screening_Target</f>
        <v>0</v>
      </c>
      <c r="E9" s="14" t="e">
        <f t="shared" si="0"/>
        <v>#VALUE!</v>
      </c>
      <c r="F9" s="14">
        <f t="shared" si="1"/>
        <v>0</v>
      </c>
      <c r="G9" s="14" t="e">
        <f t="shared" si="3"/>
        <v>#VALUE!</v>
      </c>
      <c r="H9" s="14">
        <v>0</v>
      </c>
      <c r="I9" s="14" t="e">
        <f t="shared" si="2"/>
        <v>#VALUE!</v>
      </c>
      <c r="J9" s="14" t="e">
        <f t="shared" si="4"/>
        <v>#VALUE!</v>
      </c>
    </row>
    <row r="10" spans="1:10" x14ac:dyDescent="0.35">
      <c r="A10" s="13" t="s">
        <v>25</v>
      </c>
      <c r="B10" s="13">
        <v>2</v>
      </c>
      <c r="C10" s="14" t="e">
        <f>IF(ANC_DualTest_Share_Y2=100,"",ANC_Population*(1+Pop_Growth_Rate/100)/4*(1-(ANC_DualTest_Share_Y2/100)))</f>
        <v>#VALUE!</v>
      </c>
      <c r="D10" s="14">
        <f>Y2_Screening_Target</f>
        <v>0</v>
      </c>
      <c r="E10" s="14" t="e">
        <f t="shared" si="0"/>
        <v>#VALUE!</v>
      </c>
      <c r="F10" s="14">
        <f t="shared" si="1"/>
        <v>0</v>
      </c>
      <c r="G10" s="14" t="e">
        <f t="shared" si="3"/>
        <v>#VALUE!</v>
      </c>
      <c r="H10" s="14" t="e">
        <f>(G10/3)*TripleTest_Buffer</f>
        <v>#VALUE!</v>
      </c>
      <c r="I10" s="14" t="e">
        <f t="shared" si="2"/>
        <v>#VALUE!</v>
      </c>
      <c r="J10" s="14" t="e">
        <f t="shared" si="4"/>
        <v>#VALUE!</v>
      </c>
    </row>
    <row r="11" spans="1:10" x14ac:dyDescent="0.35">
      <c r="A11" s="13" t="s">
        <v>26</v>
      </c>
      <c r="B11" s="13">
        <v>2</v>
      </c>
      <c r="C11" s="14" t="e">
        <f>IF(ANC_DualTest_Share_Y2=100,"",ANC_Population*(1+Pop_Growth_Rate/100)/4*(1-(ANC_DualTest_Share_Y2/100)))</f>
        <v>#VALUE!</v>
      </c>
      <c r="D11" s="14">
        <f>Y2_Screening_Target</f>
        <v>0</v>
      </c>
      <c r="E11" s="14" t="e">
        <f t="shared" si="0"/>
        <v>#VALUE!</v>
      </c>
      <c r="F11" s="14">
        <f t="shared" si="1"/>
        <v>0</v>
      </c>
      <c r="G11" s="14" t="e">
        <f t="shared" si="3"/>
        <v>#VALUE!</v>
      </c>
      <c r="H11" s="14">
        <v>0</v>
      </c>
      <c r="I11" s="14" t="e">
        <f t="shared" si="2"/>
        <v>#VALUE!</v>
      </c>
      <c r="J11" s="14" t="e">
        <f t="shared" si="4"/>
        <v>#VALUE!</v>
      </c>
    </row>
    <row r="12" spans="1:10" x14ac:dyDescent="0.35">
      <c r="A12" s="13" t="s">
        <v>27</v>
      </c>
      <c r="B12" s="13">
        <v>2</v>
      </c>
      <c r="C12" s="14" t="e">
        <f>IF(ANC_DualTest_Share_Y2=100,"",ANC_Population*(1+Pop_Growth_Rate/100)/4*(1-(ANC_DualTest_Share_Y2/100)))</f>
        <v>#VALUE!</v>
      </c>
      <c r="D12" s="14">
        <f>Y2_Screening_Target</f>
        <v>0</v>
      </c>
      <c r="E12" s="14" t="e">
        <f t="shared" si="0"/>
        <v>#VALUE!</v>
      </c>
      <c r="F12" s="14">
        <f t="shared" si="1"/>
        <v>0</v>
      </c>
      <c r="G12" s="14" t="e">
        <f t="shared" si="3"/>
        <v>#VALUE!</v>
      </c>
      <c r="H12" s="14">
        <v>0</v>
      </c>
      <c r="I12" s="14" t="e">
        <f t="shared" si="2"/>
        <v>#VALUE!</v>
      </c>
      <c r="J12" s="14" t="e">
        <f t="shared" si="4"/>
        <v>#VALUE!</v>
      </c>
    </row>
    <row r="13" spans="1:10" x14ac:dyDescent="0.35">
      <c r="A13" s="13" t="s">
        <v>28</v>
      </c>
      <c r="B13" s="13">
        <v>2</v>
      </c>
      <c r="C13" s="14" t="e">
        <f>IF(ANC_DualTest_Share_Y2=100,"",ANC_Population*(1+Pop_Growth_Rate/100)/4*(1-(ANC_DualTest_Share_Y2/100)))</f>
        <v>#VALUE!</v>
      </c>
      <c r="D13" s="14">
        <f>Y2_Screening_Target</f>
        <v>0</v>
      </c>
      <c r="E13" s="14" t="e">
        <f t="shared" si="0"/>
        <v>#VALUE!</v>
      </c>
      <c r="F13" s="14">
        <f t="shared" si="1"/>
        <v>0</v>
      </c>
      <c r="G13" s="14" t="e">
        <f t="shared" si="3"/>
        <v>#VALUE!</v>
      </c>
      <c r="H13" s="14">
        <v>0</v>
      </c>
      <c r="I13" s="14" t="e">
        <f t="shared" si="2"/>
        <v>#VALUE!</v>
      </c>
      <c r="J13" s="14" t="e">
        <f t="shared" si="4"/>
        <v>#VALUE!</v>
      </c>
    </row>
    <row r="14" spans="1:10" x14ac:dyDescent="0.35">
      <c r="A14" s="13" t="s">
        <v>25</v>
      </c>
      <c r="B14" s="13">
        <v>3</v>
      </c>
      <c r="C14" s="14" t="e">
        <f>IF(ANC_DualTest_Share_Y3=100,"",ANC_Population*(1+Pop_Growth_Rate/100)^2/4*(1-(ANC_DualTest_Share_Y3/100)))</f>
        <v>#VALUE!</v>
      </c>
      <c r="D14" s="14">
        <f>Y3_Screening_Target</f>
        <v>0</v>
      </c>
      <c r="E14" s="14" t="e">
        <f t="shared" si="0"/>
        <v>#VALUE!</v>
      </c>
      <c r="F14" s="14">
        <f t="shared" si="1"/>
        <v>0</v>
      </c>
      <c r="G14" s="14" t="e">
        <f t="shared" si="3"/>
        <v>#VALUE!</v>
      </c>
      <c r="H14" s="14" t="e">
        <f>(G14/3)*TripleTest_Buffer</f>
        <v>#VALUE!</v>
      </c>
      <c r="I14" s="14" t="e">
        <f t="shared" si="2"/>
        <v>#VALUE!</v>
      </c>
      <c r="J14" s="14" t="e">
        <f t="shared" si="4"/>
        <v>#VALUE!</v>
      </c>
    </row>
    <row r="15" spans="1:10" x14ac:dyDescent="0.35">
      <c r="A15" s="13" t="s">
        <v>26</v>
      </c>
      <c r="B15" s="13">
        <v>3</v>
      </c>
      <c r="C15" s="14" t="e">
        <f>IF(ANC_DualTest_Share_Y3=100,"",ANC_Population*(1+Pop_Growth_Rate/100)^2/4*(1-(ANC_DualTest_Share_Y3/100)))</f>
        <v>#VALUE!</v>
      </c>
      <c r="D15" s="14">
        <f>Y3_Screening_Target</f>
        <v>0</v>
      </c>
      <c r="E15" s="14" t="e">
        <f t="shared" si="0"/>
        <v>#VALUE!</v>
      </c>
      <c r="F15" s="14">
        <f t="shared" si="1"/>
        <v>0</v>
      </c>
      <c r="G15" s="14" t="e">
        <f t="shared" si="3"/>
        <v>#VALUE!</v>
      </c>
      <c r="H15" s="14">
        <v>0</v>
      </c>
      <c r="I15" s="14" t="e">
        <f t="shared" si="2"/>
        <v>#VALUE!</v>
      </c>
      <c r="J15" s="14" t="e">
        <f t="shared" si="4"/>
        <v>#VALUE!</v>
      </c>
    </row>
    <row r="16" spans="1:10" x14ac:dyDescent="0.35">
      <c r="A16" s="13" t="s">
        <v>27</v>
      </c>
      <c r="B16" s="13">
        <v>3</v>
      </c>
      <c r="C16" s="14" t="e">
        <f>IF(ANC_DualTest_Share_Y3=100,"",ANC_Population*(1+Pop_Growth_Rate/100)^2/4*(1-(ANC_DualTest_Share_Y3/100)))</f>
        <v>#VALUE!</v>
      </c>
      <c r="D16" s="14">
        <f>Y3_Screening_Target</f>
        <v>0</v>
      </c>
      <c r="E16" s="14" t="e">
        <f t="shared" si="0"/>
        <v>#VALUE!</v>
      </c>
      <c r="F16" s="14">
        <f t="shared" si="1"/>
        <v>0</v>
      </c>
      <c r="G16" s="14" t="e">
        <f t="shared" si="3"/>
        <v>#VALUE!</v>
      </c>
      <c r="H16" s="14">
        <v>0</v>
      </c>
      <c r="I16" s="14" t="e">
        <f t="shared" si="2"/>
        <v>#VALUE!</v>
      </c>
      <c r="J16" s="14" t="e">
        <f t="shared" si="4"/>
        <v>#VALUE!</v>
      </c>
    </row>
    <row r="17" spans="1:10" x14ac:dyDescent="0.35">
      <c r="A17" s="13" t="s">
        <v>28</v>
      </c>
      <c r="B17" s="13">
        <v>3</v>
      </c>
      <c r="C17" s="14" t="e">
        <f>IF(ANC_DualTest_Share_Y3=100,"",ANC_Population*(1+Pop_Growth_Rate/100)^2/4*(1-(ANC_DualTest_Share_Y3/100)))</f>
        <v>#VALUE!</v>
      </c>
      <c r="D17" s="14">
        <f>Y3_Screening_Target</f>
        <v>0</v>
      </c>
      <c r="E17" s="14" t="e">
        <f t="shared" si="0"/>
        <v>#VALUE!</v>
      </c>
      <c r="F17" s="14">
        <f t="shared" si="1"/>
        <v>0</v>
      </c>
      <c r="G17" s="14" t="e">
        <f t="shared" si="3"/>
        <v>#VALUE!</v>
      </c>
      <c r="H17" s="14">
        <v>0</v>
      </c>
      <c r="I17" s="14" t="e">
        <f t="shared" si="2"/>
        <v>#VALUE!</v>
      </c>
      <c r="J17" s="14" t="e">
        <f t="shared" si="4"/>
        <v>#VALUE!</v>
      </c>
    </row>
    <row r="18" spans="1:10" x14ac:dyDescent="0.35">
      <c r="C18" s="48"/>
      <c r="D18" s="48"/>
      <c r="E18" s="48"/>
      <c r="F18" s="48"/>
      <c r="G18" s="48"/>
      <c r="H18" s="48"/>
      <c r="I18" s="48"/>
      <c r="J18" s="48"/>
    </row>
    <row r="19" spans="1:10" x14ac:dyDescent="0.35">
      <c r="A19" s="102" t="s">
        <v>29</v>
      </c>
      <c r="B19" s="102"/>
      <c r="C19" s="103"/>
      <c r="D19" s="103"/>
      <c r="E19" s="104" t="e">
        <f t="shared" ref="E19:F19" si="5">SUM(E6:E9)</f>
        <v>#VALUE!</v>
      </c>
      <c r="F19" s="104">
        <f t="shared" si="5"/>
        <v>0</v>
      </c>
      <c r="G19" s="103" t="e">
        <f>SUM(G6:G9)</f>
        <v>#VALUE!</v>
      </c>
      <c r="H19" s="103" t="e">
        <f t="shared" ref="H19:I19" si="6">SUM(H6:H9)</f>
        <v>#VALUE!</v>
      </c>
      <c r="I19" s="103" t="e">
        <f t="shared" si="6"/>
        <v>#VALUE!</v>
      </c>
      <c r="J19" s="103" t="e">
        <f>SUM(J6:J9)</f>
        <v>#VALUE!</v>
      </c>
    </row>
    <row r="20" spans="1:10" x14ac:dyDescent="0.35">
      <c r="A20" s="102" t="s">
        <v>30</v>
      </c>
      <c r="B20" s="102"/>
      <c r="C20" s="103"/>
      <c r="D20" s="103"/>
      <c r="E20" s="104" t="e">
        <f t="shared" ref="E20:I20" si="7">SUM(E10:E13)</f>
        <v>#VALUE!</v>
      </c>
      <c r="F20" s="104">
        <f t="shared" si="7"/>
        <v>0</v>
      </c>
      <c r="G20" s="103" t="e">
        <f t="shared" si="7"/>
        <v>#VALUE!</v>
      </c>
      <c r="H20" s="103" t="e">
        <f>SUM(H10:H13)</f>
        <v>#VALUE!</v>
      </c>
      <c r="I20" s="103" t="e">
        <f t="shared" si="7"/>
        <v>#VALUE!</v>
      </c>
      <c r="J20" s="103" t="e">
        <f>SUM(J10:J13)</f>
        <v>#VALUE!</v>
      </c>
    </row>
    <row r="21" spans="1:10" x14ac:dyDescent="0.35">
      <c r="A21" s="102" t="s">
        <v>31</v>
      </c>
      <c r="B21" s="102"/>
      <c r="C21" s="103"/>
      <c r="D21" s="103"/>
      <c r="E21" s="104" t="e">
        <f t="shared" ref="E21:J21" si="8">SUM(E14:E17)</f>
        <v>#VALUE!</v>
      </c>
      <c r="F21" s="104">
        <f t="shared" si="8"/>
        <v>0</v>
      </c>
      <c r="G21" s="103" t="e">
        <f t="shared" si="8"/>
        <v>#VALUE!</v>
      </c>
      <c r="H21" s="103" t="e">
        <f t="shared" si="8"/>
        <v>#VALUE!</v>
      </c>
      <c r="I21" s="103" t="e">
        <f t="shared" si="8"/>
        <v>#VALUE!</v>
      </c>
      <c r="J21" s="103" t="e">
        <f t="shared" si="8"/>
        <v>#VALUE!</v>
      </c>
    </row>
    <row r="22" spans="1:10" x14ac:dyDescent="0.35">
      <c r="C22" s="48"/>
      <c r="D22" s="48"/>
      <c r="E22" s="48"/>
      <c r="F22" s="48"/>
      <c r="G22" s="48"/>
      <c r="H22" s="48"/>
      <c r="I22" s="48"/>
      <c r="J22" s="48"/>
    </row>
    <row r="23" spans="1:10" x14ac:dyDescent="0.35">
      <c r="A23" s="88" t="s">
        <v>32</v>
      </c>
      <c r="B23" s="88"/>
      <c r="C23" s="89"/>
      <c r="D23" s="89"/>
      <c r="E23" s="90"/>
      <c r="F23" s="90"/>
      <c r="G23" s="89" t="e">
        <f t="shared" ref="G23:I23" si="9">SUM(G19:G21)</f>
        <v>#VALUE!</v>
      </c>
      <c r="H23" s="89" t="e">
        <f t="shared" si="9"/>
        <v>#VALUE!</v>
      </c>
      <c r="I23" s="89" t="e">
        <f t="shared" si="9"/>
        <v>#VALUE!</v>
      </c>
      <c r="J23" s="89" t="e">
        <f>SUM(J19:J21)</f>
        <v>#VALUE!</v>
      </c>
    </row>
    <row r="25" spans="1:10" s="84" customFormat="1" ht="14.5" customHeight="1" x14ac:dyDescent="0.35">
      <c r="A25" s="83" t="s">
        <v>114</v>
      </c>
    </row>
    <row r="27" spans="1:10" ht="29" x14ac:dyDescent="0.35">
      <c r="A27" s="57" t="s">
        <v>19</v>
      </c>
      <c r="B27" s="57" t="s">
        <v>20</v>
      </c>
      <c r="C27" s="57" t="s">
        <v>129</v>
      </c>
      <c r="D27" s="57" t="s">
        <v>21</v>
      </c>
      <c r="E27" s="57" t="s">
        <v>65</v>
      </c>
      <c r="F27" s="57" t="s">
        <v>47</v>
      </c>
      <c r="G27" s="57" t="s">
        <v>57</v>
      </c>
      <c r="H27" s="57" t="s">
        <v>58</v>
      </c>
      <c r="I27" s="57" t="s">
        <v>59</v>
      </c>
      <c r="J27" s="57" t="s">
        <v>119</v>
      </c>
    </row>
    <row r="28" spans="1:10" x14ac:dyDescent="0.35">
      <c r="A28" s="13" t="s">
        <v>25</v>
      </c>
      <c r="B28" s="13">
        <v>1</v>
      </c>
      <c r="C28" s="14">
        <f>IF(Other_Population="",0,IF(Other_DualTest_Share_Y1=100,"",Other_Population/4*(1-(Other_DualTest_Share_Y1/100))))</f>
        <v>0</v>
      </c>
      <c r="D28" s="14">
        <f>IF(Other_Population="",0,Other_Y1_Screening_Target)</f>
        <v>0</v>
      </c>
      <c r="E28" s="14">
        <f t="shared" ref="E28:E39" si="10">IF(Other_Population="",0,C28*(D28/100)*Other_Tests_Per_Person)</f>
        <v>0</v>
      </c>
      <c r="F28" s="14">
        <f t="shared" ref="F28:F39" si="11">IF(Other_Population="",0,IF(Other_Partners_Rate_Screening="",0,(C28*(D28/100)*(Other_Syphilis_Prevalence/100))*Other_Partners_Rate_Screening))</f>
        <v>0</v>
      </c>
      <c r="G28" s="14">
        <f t="shared" ref="G28:G39" si="12">E28+F28</f>
        <v>0</v>
      </c>
      <c r="H28" s="14">
        <f>(G28/3)*IF(Other_TripleTest_Buffer="",TripleTest_Buffer,Other_TripleTest_Buffer)</f>
        <v>0</v>
      </c>
      <c r="I28" s="14">
        <f t="shared" ref="I28:I39" si="13">(G28+H28)*(TripleTest_Wastage_Rate/100)</f>
        <v>0</v>
      </c>
      <c r="J28" s="14">
        <f t="shared" ref="J28:J39" si="14">G28+H28+I28</f>
        <v>0</v>
      </c>
    </row>
    <row r="29" spans="1:10" x14ac:dyDescent="0.35">
      <c r="A29" s="13" t="s">
        <v>26</v>
      </c>
      <c r="B29" s="13">
        <v>1</v>
      </c>
      <c r="C29" s="14">
        <f>IF(Other_Population="",0,IF(Other_DualTest_Share_Y1=100,"",Other_Population/4*(1-(Other_DualTest_Share_Y1/100))))</f>
        <v>0</v>
      </c>
      <c r="D29" s="14">
        <f>IF(Other_Population="",0,Other_Y1_Screening_Target)</f>
        <v>0</v>
      </c>
      <c r="E29" s="14">
        <f t="shared" si="10"/>
        <v>0</v>
      </c>
      <c r="F29" s="14">
        <f t="shared" si="11"/>
        <v>0</v>
      </c>
      <c r="G29" s="14">
        <f t="shared" si="12"/>
        <v>0</v>
      </c>
      <c r="H29" s="14">
        <v>0</v>
      </c>
      <c r="I29" s="14">
        <f t="shared" si="13"/>
        <v>0</v>
      </c>
      <c r="J29" s="14">
        <f t="shared" si="14"/>
        <v>0</v>
      </c>
    </row>
    <row r="30" spans="1:10" x14ac:dyDescent="0.35">
      <c r="A30" s="13" t="s">
        <v>27</v>
      </c>
      <c r="B30" s="13">
        <v>1</v>
      </c>
      <c r="C30" s="14">
        <f>IF(Other_Population="",0,IF(Other_DualTest_Share_Y1=100,"",Other_Population/4*(1-(Other_DualTest_Share_Y1/100))))</f>
        <v>0</v>
      </c>
      <c r="D30" s="14">
        <f>IF(Other_Population="",0,Other_Y1_Screening_Target)</f>
        <v>0</v>
      </c>
      <c r="E30" s="14">
        <f t="shared" si="10"/>
        <v>0</v>
      </c>
      <c r="F30" s="14">
        <f t="shared" si="11"/>
        <v>0</v>
      </c>
      <c r="G30" s="14">
        <f t="shared" si="12"/>
        <v>0</v>
      </c>
      <c r="H30" s="14">
        <v>0</v>
      </c>
      <c r="I30" s="14">
        <f t="shared" si="13"/>
        <v>0</v>
      </c>
      <c r="J30" s="14">
        <f t="shared" si="14"/>
        <v>0</v>
      </c>
    </row>
    <row r="31" spans="1:10" x14ac:dyDescent="0.35">
      <c r="A31" s="13" t="s">
        <v>28</v>
      </c>
      <c r="B31" s="13">
        <v>1</v>
      </c>
      <c r="C31" s="14">
        <f>IF(Other_Population="",0,IF(Other_DualTest_Share_Y1=100,"",Other_Population/4*(1-(Other_DualTest_Share_Y1/100))))</f>
        <v>0</v>
      </c>
      <c r="D31" s="14">
        <f>IF(Other_Population="",0,Other_Y1_Screening_Target)</f>
        <v>0</v>
      </c>
      <c r="E31" s="14">
        <f t="shared" si="10"/>
        <v>0</v>
      </c>
      <c r="F31" s="14">
        <f t="shared" si="11"/>
        <v>0</v>
      </c>
      <c r="G31" s="14">
        <f t="shared" si="12"/>
        <v>0</v>
      </c>
      <c r="H31" s="14">
        <v>0</v>
      </c>
      <c r="I31" s="14">
        <f t="shared" si="13"/>
        <v>0</v>
      </c>
      <c r="J31" s="14">
        <f t="shared" si="14"/>
        <v>0</v>
      </c>
    </row>
    <row r="32" spans="1:10" x14ac:dyDescent="0.35">
      <c r="A32" s="13" t="s">
        <v>25</v>
      </c>
      <c r="B32" s="13">
        <v>2</v>
      </c>
      <c r="C32" s="14">
        <f>IF(Other_Population="",0,IF(Other_DualTest_Share_Y2=100,"",Other_Population/4*(1-(Other_DualTest_Share_Y2/100))))</f>
        <v>0</v>
      </c>
      <c r="D32" s="14">
        <f>IF(Other_Population="",0,Other_Y2_Screening_Target)</f>
        <v>0</v>
      </c>
      <c r="E32" s="14">
        <f t="shared" si="10"/>
        <v>0</v>
      </c>
      <c r="F32" s="14">
        <f t="shared" si="11"/>
        <v>0</v>
      </c>
      <c r="G32" s="14">
        <f t="shared" si="12"/>
        <v>0</v>
      </c>
      <c r="H32" s="14">
        <f>(G32/3)*IF(Other_TripleTest_Buffer="",TripleTest_Buffer,Other_TripleTest_Buffer)</f>
        <v>0</v>
      </c>
      <c r="I32" s="14">
        <f t="shared" si="13"/>
        <v>0</v>
      </c>
      <c r="J32" s="14">
        <f t="shared" si="14"/>
        <v>0</v>
      </c>
    </row>
    <row r="33" spans="1:10" x14ac:dyDescent="0.35">
      <c r="A33" s="13" t="s">
        <v>26</v>
      </c>
      <c r="B33" s="13">
        <v>2</v>
      </c>
      <c r="C33" s="14">
        <f>IF(Other_Population="",0,IF(Other_DualTest_Share_Y2=100,"",Other_Population/4*(1-(Other_DualTest_Share_Y2/100))))</f>
        <v>0</v>
      </c>
      <c r="D33" s="14">
        <f>IF(Other_Population="",0,Other_Y2_Screening_Target)</f>
        <v>0</v>
      </c>
      <c r="E33" s="14">
        <f t="shared" si="10"/>
        <v>0</v>
      </c>
      <c r="F33" s="14">
        <f t="shared" si="11"/>
        <v>0</v>
      </c>
      <c r="G33" s="14">
        <f t="shared" si="12"/>
        <v>0</v>
      </c>
      <c r="H33" s="14">
        <v>0</v>
      </c>
      <c r="I33" s="14">
        <f t="shared" si="13"/>
        <v>0</v>
      </c>
      <c r="J33" s="14">
        <f t="shared" si="14"/>
        <v>0</v>
      </c>
    </row>
    <row r="34" spans="1:10" x14ac:dyDescent="0.35">
      <c r="A34" s="13" t="s">
        <v>27</v>
      </c>
      <c r="B34" s="13">
        <v>2</v>
      </c>
      <c r="C34" s="14">
        <f>IF(Other_Population="",0,IF(Other_DualTest_Share_Y2=100,"",Other_Population/4*(1-(Other_DualTest_Share_Y2/100))))</f>
        <v>0</v>
      </c>
      <c r="D34" s="14">
        <f>IF(Other_Population="",0,Other_Y2_Screening_Target)</f>
        <v>0</v>
      </c>
      <c r="E34" s="14">
        <f t="shared" si="10"/>
        <v>0</v>
      </c>
      <c r="F34" s="14">
        <f t="shared" si="11"/>
        <v>0</v>
      </c>
      <c r="G34" s="14">
        <f t="shared" si="12"/>
        <v>0</v>
      </c>
      <c r="H34" s="14">
        <v>0</v>
      </c>
      <c r="I34" s="14">
        <f t="shared" si="13"/>
        <v>0</v>
      </c>
      <c r="J34" s="14">
        <f t="shared" si="14"/>
        <v>0</v>
      </c>
    </row>
    <row r="35" spans="1:10" x14ac:dyDescent="0.35">
      <c r="A35" s="13" t="s">
        <v>28</v>
      </c>
      <c r="B35" s="13">
        <v>2</v>
      </c>
      <c r="C35" s="14">
        <f>IF(Other_Population="",0,IF(Other_DualTest_Share_Y2=100,"",Other_Population/4*(1-(Other_DualTest_Share_Y2/100))))</f>
        <v>0</v>
      </c>
      <c r="D35" s="14">
        <f>IF(Other_Population="",0,Other_Y2_Screening_Target)</f>
        <v>0</v>
      </c>
      <c r="E35" s="14">
        <f t="shared" si="10"/>
        <v>0</v>
      </c>
      <c r="F35" s="14">
        <f t="shared" si="11"/>
        <v>0</v>
      </c>
      <c r="G35" s="14">
        <f t="shared" si="12"/>
        <v>0</v>
      </c>
      <c r="H35" s="14">
        <v>0</v>
      </c>
      <c r="I35" s="14">
        <f t="shared" si="13"/>
        <v>0</v>
      </c>
      <c r="J35" s="14">
        <f t="shared" si="14"/>
        <v>0</v>
      </c>
    </row>
    <row r="36" spans="1:10" x14ac:dyDescent="0.35">
      <c r="A36" s="13" t="s">
        <v>25</v>
      </c>
      <c r="B36" s="13">
        <v>3</v>
      </c>
      <c r="C36" s="14">
        <f>IF(Other_Population="",0,IF(Other_DualTest_Share_Y3=100,"",Other_Population/4*(1-(Other_DualTest_Share_Y3/100))))</f>
        <v>0</v>
      </c>
      <c r="D36" s="14">
        <f>IF(Other_Population="",0,Other_Y3_Screening_Target)</f>
        <v>0</v>
      </c>
      <c r="E36" s="14">
        <f t="shared" si="10"/>
        <v>0</v>
      </c>
      <c r="F36" s="14">
        <f t="shared" si="11"/>
        <v>0</v>
      </c>
      <c r="G36" s="14">
        <f t="shared" si="12"/>
        <v>0</v>
      </c>
      <c r="H36" s="14">
        <f>(G36/3)*IF(Other_TripleTest_Buffer="",TripleTest_Buffer,Other_TripleTest_Buffer)</f>
        <v>0</v>
      </c>
      <c r="I36" s="14">
        <f t="shared" si="13"/>
        <v>0</v>
      </c>
      <c r="J36" s="14">
        <f t="shared" si="14"/>
        <v>0</v>
      </c>
    </row>
    <row r="37" spans="1:10" x14ac:dyDescent="0.35">
      <c r="A37" s="13" t="s">
        <v>26</v>
      </c>
      <c r="B37" s="13">
        <v>3</v>
      </c>
      <c r="C37" s="14">
        <f>IF(Other_Population="",0,IF(Other_DualTest_Share_Y3=100,"",Other_Population/4*(1-(Other_DualTest_Share_Y3/100))))</f>
        <v>0</v>
      </c>
      <c r="D37" s="14">
        <f>IF(Other_Population="",0,Other_Y3_Screening_Target)</f>
        <v>0</v>
      </c>
      <c r="E37" s="14">
        <f t="shared" si="10"/>
        <v>0</v>
      </c>
      <c r="F37" s="14">
        <f t="shared" si="11"/>
        <v>0</v>
      </c>
      <c r="G37" s="14">
        <f t="shared" si="12"/>
        <v>0</v>
      </c>
      <c r="H37" s="14">
        <v>0</v>
      </c>
      <c r="I37" s="14">
        <f t="shared" si="13"/>
        <v>0</v>
      </c>
      <c r="J37" s="14">
        <f t="shared" si="14"/>
        <v>0</v>
      </c>
    </row>
    <row r="38" spans="1:10" x14ac:dyDescent="0.35">
      <c r="A38" s="13" t="s">
        <v>27</v>
      </c>
      <c r="B38" s="13">
        <v>3</v>
      </c>
      <c r="C38" s="14">
        <f>IF(Other_Population="",0,IF(Other_DualTest_Share_Y3=100,"",Other_Population/4*(1-(Other_DualTest_Share_Y3/100))))</f>
        <v>0</v>
      </c>
      <c r="D38" s="14">
        <f>IF(Other_Population="",0,Other_Y3_Screening_Target)</f>
        <v>0</v>
      </c>
      <c r="E38" s="14">
        <f t="shared" si="10"/>
        <v>0</v>
      </c>
      <c r="F38" s="14">
        <f t="shared" si="11"/>
        <v>0</v>
      </c>
      <c r="G38" s="14">
        <f t="shared" si="12"/>
        <v>0</v>
      </c>
      <c r="H38" s="14">
        <v>0</v>
      </c>
      <c r="I38" s="14">
        <f t="shared" si="13"/>
        <v>0</v>
      </c>
      <c r="J38" s="14">
        <f t="shared" si="14"/>
        <v>0</v>
      </c>
    </row>
    <row r="39" spans="1:10" x14ac:dyDescent="0.35">
      <c r="A39" s="13" t="s">
        <v>28</v>
      </c>
      <c r="B39" s="13">
        <v>3</v>
      </c>
      <c r="C39" s="14">
        <f>IF(Other_Population="",0,IF(Other_DualTest_Share_Y3=100,"",Other_Population/4*(1-(Other_DualTest_Share_Y3/100))))</f>
        <v>0</v>
      </c>
      <c r="D39" s="14">
        <f>IF(Other_Population="",0,Other_Y3_Screening_Target)</f>
        <v>0</v>
      </c>
      <c r="E39" s="14">
        <f t="shared" si="10"/>
        <v>0</v>
      </c>
      <c r="F39" s="14">
        <f t="shared" si="11"/>
        <v>0</v>
      </c>
      <c r="G39" s="14">
        <f t="shared" si="12"/>
        <v>0</v>
      </c>
      <c r="H39" s="14">
        <v>0</v>
      </c>
      <c r="I39" s="14">
        <f t="shared" si="13"/>
        <v>0</v>
      </c>
      <c r="J39" s="14">
        <f t="shared" si="14"/>
        <v>0</v>
      </c>
    </row>
    <row r="40" spans="1:10" x14ac:dyDescent="0.35">
      <c r="C40" s="48"/>
      <c r="D40" s="48"/>
      <c r="E40" s="48"/>
      <c r="F40" s="48"/>
      <c r="G40" s="48"/>
      <c r="H40" s="48"/>
      <c r="I40" s="48"/>
      <c r="J40" s="48"/>
    </row>
    <row r="41" spans="1:10" x14ac:dyDescent="0.35">
      <c r="A41" s="102" t="s">
        <v>29</v>
      </c>
      <c r="B41" s="102"/>
      <c r="C41" s="103"/>
      <c r="D41" s="103"/>
      <c r="E41" s="104">
        <f t="shared" ref="E41:F41" si="15">SUM(E28:E31)</f>
        <v>0</v>
      </c>
      <c r="F41" s="104">
        <f t="shared" si="15"/>
        <v>0</v>
      </c>
      <c r="G41" s="103">
        <f>SUM(G28:G31)</f>
        <v>0</v>
      </c>
      <c r="H41" s="103">
        <f t="shared" ref="H41:I41" si="16">SUM(H28:H31)</f>
        <v>0</v>
      </c>
      <c r="I41" s="103">
        <f t="shared" si="16"/>
        <v>0</v>
      </c>
      <c r="J41" s="103">
        <f>SUM(J28:J31)</f>
        <v>0</v>
      </c>
    </row>
    <row r="42" spans="1:10" x14ac:dyDescent="0.35">
      <c r="A42" s="102" t="s">
        <v>30</v>
      </c>
      <c r="B42" s="102"/>
      <c r="C42" s="103"/>
      <c r="D42" s="103"/>
      <c r="E42" s="104">
        <f t="shared" ref="E42:G42" si="17">SUM(E32:E35)</f>
        <v>0</v>
      </c>
      <c r="F42" s="104">
        <f t="shared" si="17"/>
        <v>0</v>
      </c>
      <c r="G42" s="103">
        <f t="shared" si="17"/>
        <v>0</v>
      </c>
      <c r="H42" s="103">
        <f>SUM(H32:H35)</f>
        <v>0</v>
      </c>
      <c r="I42" s="103">
        <f t="shared" ref="I42" si="18">SUM(I32:I35)</f>
        <v>0</v>
      </c>
      <c r="J42" s="103">
        <f>SUM(J32:J35)</f>
        <v>0</v>
      </c>
    </row>
    <row r="43" spans="1:10" x14ac:dyDescent="0.35">
      <c r="A43" s="102" t="s">
        <v>31</v>
      </c>
      <c r="B43" s="102"/>
      <c r="C43" s="103"/>
      <c r="D43" s="103"/>
      <c r="E43" s="104">
        <f t="shared" ref="E43:J43" si="19">SUM(E36:E39)</f>
        <v>0</v>
      </c>
      <c r="F43" s="104">
        <f t="shared" si="19"/>
        <v>0</v>
      </c>
      <c r="G43" s="103">
        <f t="shared" si="19"/>
        <v>0</v>
      </c>
      <c r="H43" s="103">
        <f t="shared" si="19"/>
        <v>0</v>
      </c>
      <c r="I43" s="103">
        <f t="shared" si="19"/>
        <v>0</v>
      </c>
      <c r="J43" s="103">
        <f t="shared" si="19"/>
        <v>0</v>
      </c>
    </row>
    <row r="44" spans="1:10" x14ac:dyDescent="0.35">
      <c r="C44" s="48"/>
      <c r="D44" s="48"/>
      <c r="E44" s="48"/>
      <c r="F44" s="48"/>
      <c r="G44" s="48"/>
      <c r="H44" s="48"/>
      <c r="I44" s="48"/>
      <c r="J44" s="48"/>
    </row>
    <row r="45" spans="1:10" x14ac:dyDescent="0.35">
      <c r="A45" s="88" t="s">
        <v>32</v>
      </c>
      <c r="B45" s="88"/>
      <c r="C45" s="89"/>
      <c r="D45" s="89"/>
      <c r="E45" s="90"/>
      <c r="F45" s="90"/>
      <c r="G45" s="89">
        <f t="shared" ref="G45:I45" si="20">SUM(G41:G43)</f>
        <v>0</v>
      </c>
      <c r="H45" s="89">
        <f t="shared" si="20"/>
        <v>0</v>
      </c>
      <c r="I45" s="89">
        <f t="shared" si="20"/>
        <v>0</v>
      </c>
      <c r="J45" s="89">
        <f>SUM(J41:J43)</f>
        <v>0</v>
      </c>
    </row>
  </sheetData>
  <sheetProtection sheet="1" selectLockedCells="1" selectUn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B5034-0CF7-4FF9-8968-206ACB5F78B5}">
  <dimension ref="A1:J45"/>
  <sheetViews>
    <sheetView topLeftCell="A5" workbookViewId="0">
      <selection activeCell="G28" sqref="G28"/>
    </sheetView>
  </sheetViews>
  <sheetFormatPr defaultRowHeight="14.5" x14ac:dyDescent="0.35"/>
  <cols>
    <col min="1" max="1" width="13.453125" customWidth="1"/>
    <col min="2" max="2" width="4.453125" bestFit="1" customWidth="1"/>
    <col min="3" max="3" width="33.81640625" customWidth="1"/>
    <col min="4" max="4" width="23.54296875" customWidth="1"/>
    <col min="5" max="5" width="28" customWidth="1"/>
    <col min="6" max="6" width="18.81640625" customWidth="1"/>
    <col min="7" max="7" width="14.54296875" customWidth="1"/>
    <col min="8" max="8" width="18.7265625" customWidth="1"/>
    <col min="9" max="9" width="16" customWidth="1"/>
    <col min="10" max="10" width="19.1796875" customWidth="1"/>
  </cols>
  <sheetData>
    <row r="1" spans="1:10" s="11" customFormat="1" ht="29.15" customHeight="1" x14ac:dyDescent="0.35">
      <c r="A1" s="11" t="s">
        <v>33</v>
      </c>
    </row>
    <row r="3" spans="1:10" s="85" customFormat="1" ht="16" x14ac:dyDescent="0.4">
      <c r="A3" s="85" t="s">
        <v>113</v>
      </c>
    </row>
    <row r="5" spans="1:10" ht="29" x14ac:dyDescent="0.35">
      <c r="A5" s="58" t="s">
        <v>19</v>
      </c>
      <c r="B5" s="58" t="s">
        <v>20</v>
      </c>
      <c r="C5" s="57" t="s">
        <v>130</v>
      </c>
      <c r="D5" s="58" t="s">
        <v>34</v>
      </c>
      <c r="E5" s="58" t="s">
        <v>35</v>
      </c>
      <c r="F5" s="58" t="s">
        <v>112</v>
      </c>
      <c r="G5" s="58" t="s">
        <v>49</v>
      </c>
      <c r="H5" s="58" t="s">
        <v>50</v>
      </c>
      <c r="I5" s="58" t="s">
        <v>22</v>
      </c>
      <c r="J5" s="58" t="s">
        <v>24</v>
      </c>
    </row>
    <row r="6" spans="1:10" x14ac:dyDescent="0.35">
      <c r="A6" s="13" t="s">
        <v>25</v>
      </c>
      <c r="B6" s="13">
        <v>1</v>
      </c>
      <c r="C6" s="14" t="e">
        <f>(ANC_Population/4)*(Y1_Screening_Target/100)</f>
        <v>#VALUE!</v>
      </c>
      <c r="D6" s="14" t="e">
        <f>C6*(Syphilis_Prevalence/100)</f>
        <v>#VALUE!</v>
      </c>
      <c r="E6" s="14">
        <f>Y1_Treatment_Target</f>
        <v>0</v>
      </c>
      <c r="F6" s="14" t="e">
        <f>D6*(E6/100)</f>
        <v>#VALUE!</v>
      </c>
      <c r="G6" s="14">
        <f t="shared" ref="G6:G17" si="0">IF(Partners_Treated_Rate="", 0, F6*Partners_Treated_Rate)</f>
        <v>0</v>
      </c>
      <c r="H6" s="14" t="e">
        <f>F6+G6</f>
        <v>#VALUE!</v>
      </c>
      <c r="I6" s="14" t="e">
        <f>(H6/3)*BPG_Buffer</f>
        <v>#VALUE!</v>
      </c>
      <c r="J6" s="14" t="e">
        <f>H6+I6</f>
        <v>#VALUE!</v>
      </c>
    </row>
    <row r="7" spans="1:10" x14ac:dyDescent="0.35">
      <c r="A7" s="13" t="s">
        <v>26</v>
      </c>
      <c r="B7" s="13">
        <v>1</v>
      </c>
      <c r="C7" s="14" t="e">
        <f>(ANC_Population/4)*(Y1_Screening_Target/100)</f>
        <v>#VALUE!</v>
      </c>
      <c r="D7" s="14" t="e">
        <f t="shared" ref="D7:D17" si="1">C7*(Syphilis_Prevalence/100)</f>
        <v>#VALUE!</v>
      </c>
      <c r="E7" s="14">
        <f>Y1_Treatment_Target</f>
        <v>0</v>
      </c>
      <c r="F7" s="14" t="e">
        <f t="shared" ref="F7:F17" si="2">D7*(E7/100)</f>
        <v>#VALUE!</v>
      </c>
      <c r="G7" s="14">
        <f t="shared" si="0"/>
        <v>0</v>
      </c>
      <c r="H7" s="14" t="e">
        <f t="shared" ref="H7:H17" si="3">F7+G7</f>
        <v>#VALUE!</v>
      </c>
      <c r="I7" s="14">
        <v>0</v>
      </c>
      <c r="J7" s="14" t="e">
        <f t="shared" ref="J7:J17" si="4">H7+I7</f>
        <v>#VALUE!</v>
      </c>
    </row>
    <row r="8" spans="1:10" x14ac:dyDescent="0.35">
      <c r="A8" s="13" t="s">
        <v>27</v>
      </c>
      <c r="B8" s="13">
        <v>1</v>
      </c>
      <c r="C8" s="14" t="e">
        <f>(ANC_Population/4)*(Y1_Screening_Target/100)</f>
        <v>#VALUE!</v>
      </c>
      <c r="D8" s="14" t="e">
        <f t="shared" si="1"/>
        <v>#VALUE!</v>
      </c>
      <c r="E8" s="14">
        <f>Y1_Treatment_Target</f>
        <v>0</v>
      </c>
      <c r="F8" s="14" t="e">
        <f t="shared" si="2"/>
        <v>#VALUE!</v>
      </c>
      <c r="G8" s="14">
        <f t="shared" si="0"/>
        <v>0</v>
      </c>
      <c r="H8" s="14" t="e">
        <f t="shared" si="3"/>
        <v>#VALUE!</v>
      </c>
      <c r="I8" s="14">
        <v>0</v>
      </c>
      <c r="J8" s="14" t="e">
        <f t="shared" si="4"/>
        <v>#VALUE!</v>
      </c>
    </row>
    <row r="9" spans="1:10" x14ac:dyDescent="0.35">
      <c r="A9" s="13" t="s">
        <v>28</v>
      </c>
      <c r="B9" s="13">
        <v>1</v>
      </c>
      <c r="C9" s="14" t="e">
        <f>(ANC_Population/4)*(Y1_Screening_Target/100)</f>
        <v>#VALUE!</v>
      </c>
      <c r="D9" s="14" t="e">
        <f t="shared" si="1"/>
        <v>#VALUE!</v>
      </c>
      <c r="E9" s="14">
        <f>Y1_Treatment_Target</f>
        <v>0</v>
      </c>
      <c r="F9" s="14" t="e">
        <f t="shared" si="2"/>
        <v>#VALUE!</v>
      </c>
      <c r="G9" s="14">
        <f t="shared" si="0"/>
        <v>0</v>
      </c>
      <c r="H9" s="14" t="e">
        <f t="shared" si="3"/>
        <v>#VALUE!</v>
      </c>
      <c r="I9" s="14">
        <v>0</v>
      </c>
      <c r="J9" s="14" t="e">
        <f t="shared" si="4"/>
        <v>#VALUE!</v>
      </c>
    </row>
    <row r="10" spans="1:10" x14ac:dyDescent="0.35">
      <c r="A10" s="13" t="s">
        <v>25</v>
      </c>
      <c r="B10" s="13">
        <v>2</v>
      </c>
      <c r="C10" s="14" t="e">
        <f>((ANC_Population*(1+Pop_Growth_Rate/100))/4)*(Y2_Screening_Target/100)</f>
        <v>#VALUE!</v>
      </c>
      <c r="D10" s="14" t="e">
        <f t="shared" si="1"/>
        <v>#VALUE!</v>
      </c>
      <c r="E10" s="14">
        <f>Y2_Treatment_Target</f>
        <v>0</v>
      </c>
      <c r="F10" s="14" t="e">
        <f t="shared" si="2"/>
        <v>#VALUE!</v>
      </c>
      <c r="G10" s="14">
        <f t="shared" si="0"/>
        <v>0</v>
      </c>
      <c r="H10" s="14" t="e">
        <f t="shared" si="3"/>
        <v>#VALUE!</v>
      </c>
      <c r="I10" s="14" t="e">
        <f t="shared" ref="I10:I14" si="5">(H10/3)*BPG_Buffer</f>
        <v>#VALUE!</v>
      </c>
      <c r="J10" s="14" t="e">
        <f t="shared" si="4"/>
        <v>#VALUE!</v>
      </c>
    </row>
    <row r="11" spans="1:10" x14ac:dyDescent="0.35">
      <c r="A11" s="13" t="s">
        <v>26</v>
      </c>
      <c r="B11" s="13">
        <v>2</v>
      </c>
      <c r="C11" s="14" t="e">
        <f>((ANC_Population*(1+Pop_Growth_Rate/100))/4)*(Y2_Screening_Target/100)</f>
        <v>#VALUE!</v>
      </c>
      <c r="D11" s="14" t="e">
        <f t="shared" si="1"/>
        <v>#VALUE!</v>
      </c>
      <c r="E11" s="14">
        <f>Y2_Treatment_Target</f>
        <v>0</v>
      </c>
      <c r="F11" s="14" t="e">
        <f t="shared" si="2"/>
        <v>#VALUE!</v>
      </c>
      <c r="G11" s="14">
        <f t="shared" si="0"/>
        <v>0</v>
      </c>
      <c r="H11" s="14" t="e">
        <f t="shared" si="3"/>
        <v>#VALUE!</v>
      </c>
      <c r="I11" s="14">
        <v>0</v>
      </c>
      <c r="J11" s="14" t="e">
        <f t="shared" si="4"/>
        <v>#VALUE!</v>
      </c>
    </row>
    <row r="12" spans="1:10" x14ac:dyDescent="0.35">
      <c r="A12" s="13" t="s">
        <v>27</v>
      </c>
      <c r="B12" s="13">
        <v>2</v>
      </c>
      <c r="C12" s="14" t="e">
        <f>((ANC_Population*(1+Pop_Growth_Rate/100))/4)*(Y2_Screening_Target/100)</f>
        <v>#VALUE!</v>
      </c>
      <c r="D12" s="14" t="e">
        <f t="shared" si="1"/>
        <v>#VALUE!</v>
      </c>
      <c r="E12" s="14">
        <f>Y2_Treatment_Target</f>
        <v>0</v>
      </c>
      <c r="F12" s="14" t="e">
        <f t="shared" si="2"/>
        <v>#VALUE!</v>
      </c>
      <c r="G12" s="14">
        <f t="shared" si="0"/>
        <v>0</v>
      </c>
      <c r="H12" s="14" t="e">
        <f t="shared" si="3"/>
        <v>#VALUE!</v>
      </c>
      <c r="I12" s="14">
        <v>0</v>
      </c>
      <c r="J12" s="14" t="e">
        <f t="shared" si="4"/>
        <v>#VALUE!</v>
      </c>
    </row>
    <row r="13" spans="1:10" x14ac:dyDescent="0.35">
      <c r="A13" s="13" t="s">
        <v>28</v>
      </c>
      <c r="B13" s="13">
        <v>2</v>
      </c>
      <c r="C13" s="14" t="e">
        <f>((ANC_Population*(1+Pop_Growth_Rate/100))/4)*(Y2_Screening_Target/100)</f>
        <v>#VALUE!</v>
      </c>
      <c r="D13" s="14" t="e">
        <f t="shared" si="1"/>
        <v>#VALUE!</v>
      </c>
      <c r="E13" s="14">
        <f>Y2_Treatment_Target</f>
        <v>0</v>
      </c>
      <c r="F13" s="14" t="e">
        <f t="shared" si="2"/>
        <v>#VALUE!</v>
      </c>
      <c r="G13" s="14">
        <f t="shared" si="0"/>
        <v>0</v>
      </c>
      <c r="H13" s="14" t="e">
        <f t="shared" si="3"/>
        <v>#VALUE!</v>
      </c>
      <c r="I13" s="14">
        <v>0</v>
      </c>
      <c r="J13" s="14" t="e">
        <f t="shared" si="4"/>
        <v>#VALUE!</v>
      </c>
    </row>
    <row r="14" spans="1:10" x14ac:dyDescent="0.35">
      <c r="A14" s="13" t="s">
        <v>25</v>
      </c>
      <c r="B14" s="13">
        <v>3</v>
      </c>
      <c r="C14" s="14" t="e">
        <f>((ANC_Population*(1+Pop_Growth_Rate/100)^2)/4)*(Y3_Screening_Target/100)</f>
        <v>#VALUE!</v>
      </c>
      <c r="D14" s="14" t="e">
        <f t="shared" si="1"/>
        <v>#VALUE!</v>
      </c>
      <c r="E14" s="14">
        <f>Y3_Treatment_Target</f>
        <v>0</v>
      </c>
      <c r="F14" s="14" t="e">
        <f t="shared" si="2"/>
        <v>#VALUE!</v>
      </c>
      <c r="G14" s="14">
        <f t="shared" si="0"/>
        <v>0</v>
      </c>
      <c r="H14" s="14" t="e">
        <f t="shared" si="3"/>
        <v>#VALUE!</v>
      </c>
      <c r="I14" s="14" t="e">
        <f t="shared" si="5"/>
        <v>#VALUE!</v>
      </c>
      <c r="J14" s="14" t="e">
        <f t="shared" si="4"/>
        <v>#VALUE!</v>
      </c>
    </row>
    <row r="15" spans="1:10" x14ac:dyDescent="0.35">
      <c r="A15" s="13" t="s">
        <v>26</v>
      </c>
      <c r="B15" s="13">
        <v>3</v>
      </c>
      <c r="C15" s="14" t="e">
        <f>((ANC_Population*(1+Pop_Growth_Rate/100)^2)/4)*(Y3_Screening_Target/100)</f>
        <v>#VALUE!</v>
      </c>
      <c r="D15" s="14" t="e">
        <f t="shared" si="1"/>
        <v>#VALUE!</v>
      </c>
      <c r="E15" s="14">
        <f>Y3_Treatment_Target</f>
        <v>0</v>
      </c>
      <c r="F15" s="14" t="e">
        <f t="shared" si="2"/>
        <v>#VALUE!</v>
      </c>
      <c r="G15" s="14">
        <f t="shared" si="0"/>
        <v>0</v>
      </c>
      <c r="H15" s="14" t="e">
        <f t="shared" si="3"/>
        <v>#VALUE!</v>
      </c>
      <c r="I15" s="14">
        <v>0</v>
      </c>
      <c r="J15" s="14" t="e">
        <f t="shared" si="4"/>
        <v>#VALUE!</v>
      </c>
    </row>
    <row r="16" spans="1:10" x14ac:dyDescent="0.35">
      <c r="A16" s="13" t="s">
        <v>27</v>
      </c>
      <c r="B16" s="13">
        <v>3</v>
      </c>
      <c r="C16" s="14" t="e">
        <f>((ANC_Population*(1+Pop_Growth_Rate/100)^2)/4)*(Y3_Screening_Target/100)</f>
        <v>#VALUE!</v>
      </c>
      <c r="D16" s="14" t="e">
        <f t="shared" si="1"/>
        <v>#VALUE!</v>
      </c>
      <c r="E16" s="14">
        <f>Y3_Treatment_Target</f>
        <v>0</v>
      </c>
      <c r="F16" s="14" t="e">
        <f t="shared" si="2"/>
        <v>#VALUE!</v>
      </c>
      <c r="G16" s="14">
        <f t="shared" si="0"/>
        <v>0</v>
      </c>
      <c r="H16" s="14" t="e">
        <f t="shared" si="3"/>
        <v>#VALUE!</v>
      </c>
      <c r="I16" s="14">
        <v>0</v>
      </c>
      <c r="J16" s="14" t="e">
        <f t="shared" si="4"/>
        <v>#VALUE!</v>
      </c>
    </row>
    <row r="17" spans="1:10" x14ac:dyDescent="0.35">
      <c r="A17" s="13" t="s">
        <v>28</v>
      </c>
      <c r="B17" s="13">
        <v>3</v>
      </c>
      <c r="C17" s="14" t="e">
        <f>((ANC_Population*(1+Pop_Growth_Rate/100)^2)/4)*(Y3_Screening_Target/100)</f>
        <v>#VALUE!</v>
      </c>
      <c r="D17" s="14" t="e">
        <f t="shared" si="1"/>
        <v>#VALUE!</v>
      </c>
      <c r="E17" s="14">
        <f>Y3_Treatment_Target</f>
        <v>0</v>
      </c>
      <c r="F17" s="14" t="e">
        <f t="shared" si="2"/>
        <v>#VALUE!</v>
      </c>
      <c r="G17" s="14">
        <f t="shared" si="0"/>
        <v>0</v>
      </c>
      <c r="H17" s="14" t="e">
        <f t="shared" si="3"/>
        <v>#VALUE!</v>
      </c>
      <c r="I17" s="14">
        <v>0</v>
      </c>
      <c r="J17" s="14" t="e">
        <f t="shared" si="4"/>
        <v>#VALUE!</v>
      </c>
    </row>
    <row r="18" spans="1:10" x14ac:dyDescent="0.35">
      <c r="C18" s="48"/>
      <c r="D18" s="48"/>
      <c r="E18" s="48"/>
      <c r="F18" s="48"/>
      <c r="G18" s="48"/>
      <c r="H18" s="48"/>
      <c r="I18" s="48"/>
      <c r="J18" s="48"/>
    </row>
    <row r="19" spans="1:10" x14ac:dyDescent="0.35">
      <c r="A19" s="24" t="s">
        <v>29</v>
      </c>
      <c r="B19" s="24"/>
      <c r="C19" s="107"/>
      <c r="D19" s="107"/>
      <c r="E19" s="107"/>
      <c r="F19" s="107"/>
      <c r="G19" s="107"/>
      <c r="H19" s="107" t="e">
        <f>SUM(H6:H9)</f>
        <v>#VALUE!</v>
      </c>
      <c r="I19" s="107" t="e">
        <f t="shared" ref="I19" si="6">SUM(I6:I9)</f>
        <v>#VALUE!</v>
      </c>
      <c r="J19" s="107" t="e">
        <f>SUM(J6:J9)</f>
        <v>#VALUE!</v>
      </c>
    </row>
    <row r="20" spans="1:10" x14ac:dyDescent="0.35">
      <c r="A20" s="24" t="s">
        <v>30</v>
      </c>
      <c r="B20" s="24"/>
      <c r="C20" s="107"/>
      <c r="D20" s="107"/>
      <c r="E20" s="107"/>
      <c r="F20" s="107"/>
      <c r="G20" s="107"/>
      <c r="H20" s="107" t="e">
        <f>SUM(H10:H13)</f>
        <v>#VALUE!</v>
      </c>
      <c r="I20" s="107" t="e">
        <f t="shared" ref="I20:J20" si="7">SUM(I10:I13)</f>
        <v>#VALUE!</v>
      </c>
      <c r="J20" s="107" t="e">
        <f t="shared" si="7"/>
        <v>#VALUE!</v>
      </c>
    </row>
    <row r="21" spans="1:10" x14ac:dyDescent="0.35">
      <c r="A21" s="24" t="s">
        <v>31</v>
      </c>
      <c r="B21" s="24"/>
      <c r="C21" s="107"/>
      <c r="D21" s="107"/>
      <c r="E21" s="107"/>
      <c r="F21" s="107"/>
      <c r="G21" s="107"/>
      <c r="H21" s="107" t="e">
        <f>SUM(H14:H17)</f>
        <v>#VALUE!</v>
      </c>
      <c r="I21" s="107" t="e">
        <f t="shared" ref="I21:J21" si="8">SUM(I14:I17)</f>
        <v>#VALUE!</v>
      </c>
      <c r="J21" s="107" t="e">
        <f t="shared" si="8"/>
        <v>#VALUE!</v>
      </c>
    </row>
    <row r="22" spans="1:10" x14ac:dyDescent="0.35">
      <c r="C22" s="48"/>
      <c r="D22" s="48"/>
      <c r="E22" s="48"/>
      <c r="F22" s="48"/>
      <c r="G22" s="48"/>
      <c r="H22" s="48"/>
      <c r="I22" s="48"/>
      <c r="J22" s="48"/>
    </row>
    <row r="23" spans="1:10" ht="16" x14ac:dyDescent="0.4">
      <c r="A23" s="141" t="s">
        <v>32</v>
      </c>
      <c r="B23" s="141"/>
      <c r="C23" s="142"/>
      <c r="D23" s="142"/>
      <c r="E23" s="142"/>
      <c r="F23" s="142"/>
      <c r="G23" s="142"/>
      <c r="H23" s="142" t="e">
        <f>SUM(H19:H21)</f>
        <v>#VALUE!</v>
      </c>
      <c r="I23" s="142" t="e">
        <f t="shared" ref="I23:J23" si="9">SUM(I19:I21)</f>
        <v>#VALUE!</v>
      </c>
      <c r="J23" s="142" t="e">
        <f t="shared" si="9"/>
        <v>#VALUE!</v>
      </c>
    </row>
    <row r="25" spans="1:10" s="85" customFormat="1" ht="16" x14ac:dyDescent="0.4">
      <c r="A25" s="85" t="s">
        <v>114</v>
      </c>
    </row>
    <row r="27" spans="1:10" x14ac:dyDescent="0.35">
      <c r="A27" s="58" t="s">
        <v>19</v>
      </c>
      <c r="B27" s="58" t="s">
        <v>20</v>
      </c>
      <c r="C27" s="58" t="s">
        <v>131</v>
      </c>
      <c r="D27" s="58" t="s">
        <v>34</v>
      </c>
      <c r="E27" s="58" t="s">
        <v>35</v>
      </c>
      <c r="F27" s="58" t="s">
        <v>64</v>
      </c>
      <c r="G27" s="58" t="s">
        <v>49</v>
      </c>
      <c r="H27" s="58" t="s">
        <v>50</v>
      </c>
      <c r="I27" s="58" t="s">
        <v>22</v>
      </c>
      <c r="J27" s="58" t="s">
        <v>24</v>
      </c>
    </row>
    <row r="28" spans="1:10" x14ac:dyDescent="0.35">
      <c r="A28" s="13" t="s">
        <v>25</v>
      </c>
      <c r="B28" s="13">
        <v>1</v>
      </c>
      <c r="C28" s="14">
        <f>IF(Other_Population="",0,(Other_Population/4)*(Other_Y1_Screening_Target/100))</f>
        <v>0</v>
      </c>
      <c r="D28" s="14">
        <f t="shared" ref="D28:D39" si="10">IF(Other_Population="",0,C28*(Other_Syphilis_Prevalence/100))</f>
        <v>0</v>
      </c>
      <c r="E28" s="14">
        <f>IF(Other_Population="",0,Other_Y1_Treatment_Target)</f>
        <v>0</v>
      </c>
      <c r="F28" s="14">
        <f>D28*(E28/100)</f>
        <v>0</v>
      </c>
      <c r="G28" s="14">
        <f t="shared" ref="G28:G39" si="11">IF(Other_Population="",0,IF(Other_Partners_Rate_Treatment="",0,F28*Other_Partners_Rate_Treatment))</f>
        <v>0</v>
      </c>
      <c r="H28" s="14">
        <f>F28+G28</f>
        <v>0</v>
      </c>
      <c r="I28" s="14">
        <f>(H28/3)*IF(Other_BPG_Buffer="",BPG_Buffer,Other_BPG_Buffer)</f>
        <v>0</v>
      </c>
      <c r="J28" s="14">
        <f>H28+I28</f>
        <v>0</v>
      </c>
    </row>
    <row r="29" spans="1:10" x14ac:dyDescent="0.35">
      <c r="A29" s="13" t="s">
        <v>26</v>
      </c>
      <c r="B29" s="13">
        <v>1</v>
      </c>
      <c r="C29" s="14">
        <f>IF(Other_Population="",0,(Other_Population/4)*(Other_Y1_Screening_Target/100))</f>
        <v>0</v>
      </c>
      <c r="D29" s="14">
        <f t="shared" si="10"/>
        <v>0</v>
      </c>
      <c r="E29" s="14">
        <f>IF(Other_Population="",0,Other_Y1_Treatment_Target)</f>
        <v>0</v>
      </c>
      <c r="F29" s="14">
        <f t="shared" ref="F29:F39" si="12">D29*(E29/100)</f>
        <v>0</v>
      </c>
      <c r="G29" s="14">
        <f t="shared" si="11"/>
        <v>0</v>
      </c>
      <c r="H29" s="14">
        <f t="shared" ref="H29:H39" si="13">F29+G29</f>
        <v>0</v>
      </c>
      <c r="I29" s="14">
        <v>0</v>
      </c>
      <c r="J29" s="14">
        <f t="shared" ref="J29:J39" si="14">H29+I29</f>
        <v>0</v>
      </c>
    </row>
    <row r="30" spans="1:10" x14ac:dyDescent="0.35">
      <c r="A30" s="13" t="s">
        <v>27</v>
      </c>
      <c r="B30" s="13">
        <v>1</v>
      </c>
      <c r="C30" s="14">
        <f>IF(Other_Population="",0,(Other_Population/4)*(Other_Y1_Screening_Target/100))</f>
        <v>0</v>
      </c>
      <c r="D30" s="14">
        <f t="shared" si="10"/>
        <v>0</v>
      </c>
      <c r="E30" s="14">
        <f>IF(Other_Population="",0,Other_Y1_Treatment_Target)</f>
        <v>0</v>
      </c>
      <c r="F30" s="14">
        <f t="shared" si="12"/>
        <v>0</v>
      </c>
      <c r="G30" s="14">
        <f t="shared" si="11"/>
        <v>0</v>
      </c>
      <c r="H30" s="14">
        <f t="shared" si="13"/>
        <v>0</v>
      </c>
      <c r="I30" s="14">
        <v>0</v>
      </c>
      <c r="J30" s="14">
        <f t="shared" si="14"/>
        <v>0</v>
      </c>
    </row>
    <row r="31" spans="1:10" x14ac:dyDescent="0.35">
      <c r="A31" s="13" t="s">
        <v>28</v>
      </c>
      <c r="B31" s="13">
        <v>1</v>
      </c>
      <c r="C31" s="14">
        <f>IF(Other_Population="",0,(Other_Population/4)*(Other_Y1_Screening_Target/100))</f>
        <v>0</v>
      </c>
      <c r="D31" s="14">
        <f t="shared" si="10"/>
        <v>0</v>
      </c>
      <c r="E31" s="14">
        <f>IF(Other_Population="",0,Other_Y1_Treatment_Target)</f>
        <v>0</v>
      </c>
      <c r="F31" s="14">
        <f t="shared" si="12"/>
        <v>0</v>
      </c>
      <c r="G31" s="14">
        <f t="shared" si="11"/>
        <v>0</v>
      </c>
      <c r="H31" s="14">
        <f t="shared" si="13"/>
        <v>0</v>
      </c>
      <c r="I31" s="14">
        <v>0</v>
      </c>
      <c r="J31" s="14">
        <f t="shared" si="14"/>
        <v>0</v>
      </c>
    </row>
    <row r="32" spans="1:10" x14ac:dyDescent="0.35">
      <c r="A32" s="13" t="s">
        <v>25</v>
      </c>
      <c r="B32" s="13">
        <v>2</v>
      </c>
      <c r="C32" s="14">
        <f>IF(Other_Population="",0,(Other_Population/4)*(Other_Y2_Screening_Target/100))</f>
        <v>0</v>
      </c>
      <c r="D32" s="14">
        <f t="shared" si="10"/>
        <v>0</v>
      </c>
      <c r="E32" s="14">
        <f>IF(Other_Population="",0,Other_Y2_Treatment_Target)</f>
        <v>0</v>
      </c>
      <c r="F32" s="14">
        <f t="shared" si="12"/>
        <v>0</v>
      </c>
      <c r="G32" s="14">
        <f t="shared" si="11"/>
        <v>0</v>
      </c>
      <c r="H32" s="14">
        <f t="shared" si="13"/>
        <v>0</v>
      </c>
      <c r="I32" s="14">
        <f>(H32/3)*IF(Other_BPG_Buffer="",BPG_Buffer,Other_BPG_Buffer)</f>
        <v>0</v>
      </c>
      <c r="J32" s="14">
        <f t="shared" si="14"/>
        <v>0</v>
      </c>
    </row>
    <row r="33" spans="1:10" x14ac:dyDescent="0.35">
      <c r="A33" s="13" t="s">
        <v>26</v>
      </c>
      <c r="B33" s="13">
        <v>2</v>
      </c>
      <c r="C33" s="14">
        <f>IF(Other_Population="",0,(Other_Population/4)*(Other_Y2_Screening_Target/100))</f>
        <v>0</v>
      </c>
      <c r="D33" s="14">
        <f t="shared" si="10"/>
        <v>0</v>
      </c>
      <c r="E33" s="14">
        <f>IF(Other_Population="",0,Other_Y2_Treatment_Target)</f>
        <v>0</v>
      </c>
      <c r="F33" s="14">
        <f t="shared" si="12"/>
        <v>0</v>
      </c>
      <c r="G33" s="14">
        <f t="shared" si="11"/>
        <v>0</v>
      </c>
      <c r="H33" s="14">
        <f t="shared" si="13"/>
        <v>0</v>
      </c>
      <c r="I33" s="14">
        <v>0</v>
      </c>
      <c r="J33" s="14">
        <f t="shared" si="14"/>
        <v>0</v>
      </c>
    </row>
    <row r="34" spans="1:10" x14ac:dyDescent="0.35">
      <c r="A34" s="13" t="s">
        <v>27</v>
      </c>
      <c r="B34" s="13">
        <v>2</v>
      </c>
      <c r="C34" s="14">
        <f>IF(Other_Population="",0,(Other_Population/4)*(Other_Y2_Screening_Target/100))</f>
        <v>0</v>
      </c>
      <c r="D34" s="14">
        <f t="shared" si="10"/>
        <v>0</v>
      </c>
      <c r="E34" s="14">
        <f>IF(Other_Population="",0,Other_Y2_Treatment_Target)</f>
        <v>0</v>
      </c>
      <c r="F34" s="14">
        <f t="shared" si="12"/>
        <v>0</v>
      </c>
      <c r="G34" s="14">
        <f t="shared" si="11"/>
        <v>0</v>
      </c>
      <c r="H34" s="14">
        <f t="shared" si="13"/>
        <v>0</v>
      </c>
      <c r="I34" s="14">
        <v>0</v>
      </c>
      <c r="J34" s="14">
        <f t="shared" si="14"/>
        <v>0</v>
      </c>
    </row>
    <row r="35" spans="1:10" x14ac:dyDescent="0.35">
      <c r="A35" s="13" t="s">
        <v>28</v>
      </c>
      <c r="B35" s="13">
        <v>2</v>
      </c>
      <c r="C35" s="14">
        <f>IF(Other_Population="",0,(Other_Population/4)*(Other_Y2_Screening_Target/100))</f>
        <v>0</v>
      </c>
      <c r="D35" s="14">
        <f t="shared" si="10"/>
        <v>0</v>
      </c>
      <c r="E35" s="14">
        <f>IF(Other_Population="",0,Other_Y2_Treatment_Target)</f>
        <v>0</v>
      </c>
      <c r="F35" s="14">
        <f t="shared" si="12"/>
        <v>0</v>
      </c>
      <c r="G35" s="14">
        <f t="shared" si="11"/>
        <v>0</v>
      </c>
      <c r="H35" s="14">
        <f t="shared" si="13"/>
        <v>0</v>
      </c>
      <c r="I35" s="14">
        <v>0</v>
      </c>
      <c r="J35" s="14">
        <f t="shared" si="14"/>
        <v>0</v>
      </c>
    </row>
    <row r="36" spans="1:10" x14ac:dyDescent="0.35">
      <c r="A36" s="13" t="s">
        <v>25</v>
      </c>
      <c r="B36" s="13">
        <v>3</v>
      </c>
      <c r="C36" s="14">
        <f>IF(Other_Population="",0,(Other_Population/4)*(Other_Y3_Screening_Target/100))</f>
        <v>0</v>
      </c>
      <c r="D36" s="14">
        <f t="shared" si="10"/>
        <v>0</v>
      </c>
      <c r="E36" s="14">
        <f>IF(Other_Population="",0,Other_Y3_Treatment_Target)</f>
        <v>0</v>
      </c>
      <c r="F36" s="14">
        <f t="shared" si="12"/>
        <v>0</v>
      </c>
      <c r="G36" s="14">
        <f t="shared" si="11"/>
        <v>0</v>
      </c>
      <c r="H36" s="14">
        <f t="shared" si="13"/>
        <v>0</v>
      </c>
      <c r="I36" s="14">
        <f>(H36/3)*IF(Other_BPG_Buffer="",BPG_Buffer,Other_BPG_Buffer)</f>
        <v>0</v>
      </c>
      <c r="J36" s="14">
        <f t="shared" si="14"/>
        <v>0</v>
      </c>
    </row>
    <row r="37" spans="1:10" x14ac:dyDescent="0.35">
      <c r="A37" s="13" t="s">
        <v>26</v>
      </c>
      <c r="B37" s="13">
        <v>3</v>
      </c>
      <c r="C37" s="14">
        <f>IF(Other_Population="",0,(Other_Population/4)*(Other_Y3_Screening_Target/100))</f>
        <v>0</v>
      </c>
      <c r="D37" s="14">
        <f t="shared" si="10"/>
        <v>0</v>
      </c>
      <c r="E37" s="14">
        <f>IF(Other_Population="",0,Other_Y3_Treatment_Target)</f>
        <v>0</v>
      </c>
      <c r="F37" s="14">
        <f t="shared" si="12"/>
        <v>0</v>
      </c>
      <c r="G37" s="14">
        <f t="shared" si="11"/>
        <v>0</v>
      </c>
      <c r="H37" s="14">
        <f t="shared" si="13"/>
        <v>0</v>
      </c>
      <c r="I37" s="14">
        <v>0</v>
      </c>
      <c r="J37" s="14">
        <f t="shared" si="14"/>
        <v>0</v>
      </c>
    </row>
    <row r="38" spans="1:10" x14ac:dyDescent="0.35">
      <c r="A38" s="13" t="s">
        <v>27</v>
      </c>
      <c r="B38" s="13">
        <v>3</v>
      </c>
      <c r="C38" s="14">
        <f>IF(Other_Population="",0,(Other_Population/4)*(Other_Y3_Screening_Target/100))</f>
        <v>0</v>
      </c>
      <c r="D38" s="14">
        <f t="shared" si="10"/>
        <v>0</v>
      </c>
      <c r="E38" s="14">
        <f>IF(Other_Population="",0,Other_Y3_Treatment_Target)</f>
        <v>0</v>
      </c>
      <c r="F38" s="14">
        <f t="shared" si="12"/>
        <v>0</v>
      </c>
      <c r="G38" s="14">
        <f t="shared" si="11"/>
        <v>0</v>
      </c>
      <c r="H38" s="14">
        <f t="shared" si="13"/>
        <v>0</v>
      </c>
      <c r="I38" s="14">
        <v>0</v>
      </c>
      <c r="J38" s="14">
        <f t="shared" si="14"/>
        <v>0</v>
      </c>
    </row>
    <row r="39" spans="1:10" x14ac:dyDescent="0.35">
      <c r="A39" s="13" t="s">
        <v>28</v>
      </c>
      <c r="B39" s="13">
        <v>3</v>
      </c>
      <c r="C39" s="14">
        <f>IF(Other_Population="",0,(Other_Population/4)*(Other_Y3_Screening_Target/100))</f>
        <v>0</v>
      </c>
      <c r="D39" s="14">
        <f t="shared" si="10"/>
        <v>0</v>
      </c>
      <c r="E39" s="14">
        <f>IF(Other_Population="",0,Other_Y3_Treatment_Target)</f>
        <v>0</v>
      </c>
      <c r="F39" s="14">
        <f t="shared" si="12"/>
        <v>0</v>
      </c>
      <c r="G39" s="14">
        <f t="shared" si="11"/>
        <v>0</v>
      </c>
      <c r="H39" s="14">
        <f t="shared" si="13"/>
        <v>0</v>
      </c>
      <c r="I39" s="14">
        <v>0</v>
      </c>
      <c r="J39" s="14">
        <f t="shared" si="14"/>
        <v>0</v>
      </c>
    </row>
    <row r="41" spans="1:10" x14ac:dyDescent="0.35">
      <c r="A41" s="24" t="s">
        <v>29</v>
      </c>
      <c r="B41" s="24"/>
      <c r="C41" s="107"/>
      <c r="D41" s="107"/>
      <c r="E41" s="107"/>
      <c r="F41" s="107"/>
      <c r="G41" s="107"/>
      <c r="H41" s="107">
        <f>SUM(H28:H31)</f>
        <v>0</v>
      </c>
      <c r="I41" s="107">
        <f>SUM(I28:I31)</f>
        <v>0</v>
      </c>
      <c r="J41" s="107">
        <f>SUM(J28:J31)</f>
        <v>0</v>
      </c>
    </row>
    <row r="42" spans="1:10" x14ac:dyDescent="0.35">
      <c r="A42" s="24" t="s">
        <v>30</v>
      </c>
      <c r="B42" s="24"/>
      <c r="C42" s="107"/>
      <c r="D42" s="107"/>
      <c r="E42" s="107"/>
      <c r="F42" s="107"/>
      <c r="G42" s="107"/>
      <c r="H42" s="107">
        <f>SUM(H32:H35)</f>
        <v>0</v>
      </c>
      <c r="I42" s="107">
        <f t="shared" ref="I42" si="15">SUM(I32:I35)</f>
        <v>0</v>
      </c>
      <c r="J42" s="107">
        <f>SUM(J32:J35)</f>
        <v>0</v>
      </c>
    </row>
    <row r="43" spans="1:10" x14ac:dyDescent="0.35">
      <c r="A43" s="24" t="s">
        <v>31</v>
      </c>
      <c r="B43" s="24"/>
      <c r="C43" s="107"/>
      <c r="D43" s="107"/>
      <c r="E43" s="107"/>
      <c r="F43" s="107"/>
      <c r="G43" s="107"/>
      <c r="H43" s="107">
        <f>SUM(H36:H39)</f>
        <v>0</v>
      </c>
      <c r="I43" s="107">
        <f t="shared" ref="I43" si="16">SUM(I36:I39)</f>
        <v>0</v>
      </c>
      <c r="J43" s="107">
        <f>SUM(J36:J39)</f>
        <v>0</v>
      </c>
    </row>
    <row r="45" spans="1:10" ht="16" x14ac:dyDescent="0.4">
      <c r="A45" s="141" t="s">
        <v>32</v>
      </c>
      <c r="B45" s="141"/>
      <c r="C45" s="142"/>
      <c r="D45" s="142"/>
      <c r="E45" s="142"/>
      <c r="F45" s="142"/>
      <c r="G45" s="142"/>
      <c r="H45" s="142">
        <f>SUM(H41:H43)</f>
        <v>0</v>
      </c>
      <c r="I45" s="142">
        <f t="shared" ref="I45" si="17">SUM(I41:I43)</f>
        <v>0</v>
      </c>
      <c r="J45" s="142">
        <f>SUM(J41:J43)</f>
        <v>0</v>
      </c>
    </row>
  </sheetData>
  <sheetProtection sheet="1" formatColumns="0" formatRows="0" selectLockedCells="1" selectUnlockedCells="1"/>
  <pageMargins left="0.7" right="0.7" top="0.75" bottom="0.75" header="0.3" footer="0.3"/>
  <ignoredErrors>
    <ignoredError sqref="I6 I10 I14"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35DC2-6E6F-44B7-B34D-24E66027CDC6}">
  <dimension ref="A1:K45"/>
  <sheetViews>
    <sheetView topLeftCell="A2" workbookViewId="0">
      <selection activeCell="N38" sqref="N38"/>
    </sheetView>
  </sheetViews>
  <sheetFormatPr defaultRowHeight="14.5" x14ac:dyDescent="0.35"/>
  <cols>
    <col min="1" max="1" width="13.453125" customWidth="1"/>
    <col min="2" max="2" width="5" bestFit="1" customWidth="1"/>
    <col min="3" max="3" width="19.1796875" customWidth="1"/>
    <col min="4" max="4" width="17.54296875" customWidth="1"/>
    <col min="5" max="5" width="18.453125" customWidth="1"/>
    <col min="6" max="6" width="17.54296875" customWidth="1"/>
    <col min="7" max="7" width="14.54296875" customWidth="1"/>
    <col min="8" max="8" width="18.7265625" customWidth="1"/>
    <col min="9" max="9" width="16" customWidth="1"/>
    <col min="10" max="10" width="19.1796875" customWidth="1"/>
    <col min="11" max="11" width="14.453125" customWidth="1"/>
  </cols>
  <sheetData>
    <row r="1" spans="1:11" s="11" customFormat="1" ht="29.15" customHeight="1" x14ac:dyDescent="0.35">
      <c r="A1" s="11" t="s">
        <v>96</v>
      </c>
    </row>
    <row r="3" spans="1:11" s="85" customFormat="1" ht="16" x14ac:dyDescent="0.4">
      <c r="A3" s="85" t="s">
        <v>113</v>
      </c>
    </row>
    <row r="5" spans="1:11" s="25" customFormat="1" ht="43.5" x14ac:dyDescent="0.35">
      <c r="A5" s="57" t="s">
        <v>19</v>
      </c>
      <c r="B5" s="57" t="s">
        <v>20</v>
      </c>
      <c r="C5" s="57" t="s">
        <v>132</v>
      </c>
      <c r="D5" s="57" t="s">
        <v>34</v>
      </c>
      <c r="E5" s="57" t="s">
        <v>35</v>
      </c>
      <c r="F5" s="57" t="s">
        <v>121</v>
      </c>
      <c r="G5" s="57" t="s">
        <v>124</v>
      </c>
      <c r="H5" s="57" t="s">
        <v>127</v>
      </c>
      <c r="I5" s="57" t="s">
        <v>123</v>
      </c>
      <c r="J5" s="57" t="s">
        <v>22</v>
      </c>
      <c r="K5" s="57" t="s">
        <v>24</v>
      </c>
    </row>
    <row r="6" spans="1:11" x14ac:dyDescent="0.35">
      <c r="A6" s="13" t="s">
        <v>25</v>
      </c>
      <c r="B6" s="13">
        <v>1</v>
      </c>
      <c r="C6" s="14" t="e">
        <f>(ANC_Population/4)*(HBV_Y1_Screening_Target/100)</f>
        <v>#VALUE!</v>
      </c>
      <c r="D6" s="14" t="e">
        <f t="shared" ref="D6:D17" si="0">C6*(HBV_Prevalence/100)</f>
        <v>#VALUE!</v>
      </c>
      <c r="E6" s="14">
        <f>HBV_Y1_Treatment_Target</f>
        <v>0</v>
      </c>
      <c r="F6" s="14" t="e">
        <f>D6*(E6/100)</f>
        <v>#VALUE!</v>
      </c>
      <c r="G6" s="14">
        <f t="shared" ref="G6:G17" si="1">IF(HBV_Partners_Treated_Rate="", 0, F6*HBV_Partners_Treated_Rate)</f>
        <v>0</v>
      </c>
      <c r="H6" s="14">
        <f t="shared" ref="H6:H17" si="2">IF(TDF_Supply_PerPW="", 0, TDF_Supply_PerPW)</f>
        <v>0</v>
      </c>
      <c r="I6" s="14" t="e">
        <f>(F6+G6)*H6</f>
        <v>#VALUE!</v>
      </c>
      <c r="J6" s="14" t="e">
        <f>(I6/3)*TDF_Buffer</f>
        <v>#VALUE!</v>
      </c>
      <c r="K6" s="14" t="e">
        <f>I6+J6</f>
        <v>#VALUE!</v>
      </c>
    </row>
    <row r="7" spans="1:11" x14ac:dyDescent="0.35">
      <c r="A7" s="13" t="s">
        <v>26</v>
      </c>
      <c r="B7" s="13">
        <v>1</v>
      </c>
      <c r="C7" s="14" t="e">
        <f>(ANC_Population/4)*(HBV_Y1_Screening_Target/100)</f>
        <v>#VALUE!</v>
      </c>
      <c r="D7" s="14" t="e">
        <f t="shared" si="0"/>
        <v>#VALUE!</v>
      </c>
      <c r="E7" s="14">
        <f>HBV_Y1_Treatment_Target</f>
        <v>0</v>
      </c>
      <c r="F7" s="14" t="e">
        <f t="shared" ref="F7:F17" si="3">D7*(E7/100)</f>
        <v>#VALUE!</v>
      </c>
      <c r="G7" s="14">
        <f t="shared" si="1"/>
        <v>0</v>
      </c>
      <c r="H7" s="14">
        <f t="shared" si="2"/>
        <v>0</v>
      </c>
      <c r="I7" s="14" t="e">
        <f t="shared" ref="I7:I17" si="4">(F7+G7)*H7</f>
        <v>#VALUE!</v>
      </c>
      <c r="J7" s="14">
        <v>0</v>
      </c>
      <c r="K7" s="14" t="e">
        <f t="shared" ref="K7:K17" si="5">I7+J7</f>
        <v>#VALUE!</v>
      </c>
    </row>
    <row r="8" spans="1:11" x14ac:dyDescent="0.35">
      <c r="A8" s="13" t="s">
        <v>27</v>
      </c>
      <c r="B8" s="13">
        <v>1</v>
      </c>
      <c r="C8" s="14" t="e">
        <f>(ANC_Population/4)*(HBV_Y1_Screening_Target/100)</f>
        <v>#VALUE!</v>
      </c>
      <c r="D8" s="14" t="e">
        <f t="shared" si="0"/>
        <v>#VALUE!</v>
      </c>
      <c r="E8" s="14">
        <f>HBV_Y1_Treatment_Target</f>
        <v>0</v>
      </c>
      <c r="F8" s="14" t="e">
        <f t="shared" si="3"/>
        <v>#VALUE!</v>
      </c>
      <c r="G8" s="14">
        <f t="shared" si="1"/>
        <v>0</v>
      </c>
      <c r="H8" s="14">
        <f t="shared" si="2"/>
        <v>0</v>
      </c>
      <c r="I8" s="14" t="e">
        <f t="shared" si="4"/>
        <v>#VALUE!</v>
      </c>
      <c r="J8" s="14">
        <v>0</v>
      </c>
      <c r="K8" s="14" t="e">
        <f t="shared" si="5"/>
        <v>#VALUE!</v>
      </c>
    </row>
    <row r="9" spans="1:11" x14ac:dyDescent="0.35">
      <c r="A9" s="13" t="s">
        <v>28</v>
      </c>
      <c r="B9" s="13">
        <v>1</v>
      </c>
      <c r="C9" s="14" t="e">
        <f>(ANC_Population/4)*(HBV_Y1_Screening_Target/100)</f>
        <v>#VALUE!</v>
      </c>
      <c r="D9" s="14" t="e">
        <f t="shared" si="0"/>
        <v>#VALUE!</v>
      </c>
      <c r="E9" s="14">
        <f>HBV_Y1_Treatment_Target</f>
        <v>0</v>
      </c>
      <c r="F9" s="14" t="e">
        <f t="shared" si="3"/>
        <v>#VALUE!</v>
      </c>
      <c r="G9" s="14">
        <f t="shared" si="1"/>
        <v>0</v>
      </c>
      <c r="H9" s="14">
        <f t="shared" si="2"/>
        <v>0</v>
      </c>
      <c r="I9" s="14" t="e">
        <f t="shared" si="4"/>
        <v>#VALUE!</v>
      </c>
      <c r="J9" s="14">
        <v>0</v>
      </c>
      <c r="K9" s="14" t="e">
        <f t="shared" si="5"/>
        <v>#VALUE!</v>
      </c>
    </row>
    <row r="10" spans="1:11" x14ac:dyDescent="0.35">
      <c r="A10" s="13" t="s">
        <v>25</v>
      </c>
      <c r="B10" s="13">
        <v>2</v>
      </c>
      <c r="C10" s="14" t="e">
        <f>(ANC_Population*(1+Pop_Growth_Rate/100)/4)*(HBV_Y2_Screening_Target/100)</f>
        <v>#VALUE!</v>
      </c>
      <c r="D10" s="14" t="e">
        <f t="shared" si="0"/>
        <v>#VALUE!</v>
      </c>
      <c r="E10" s="14">
        <f>HBV_Y2_Treatment_Target</f>
        <v>0</v>
      </c>
      <c r="F10" s="14" t="e">
        <f t="shared" si="3"/>
        <v>#VALUE!</v>
      </c>
      <c r="G10" s="14">
        <f t="shared" si="1"/>
        <v>0</v>
      </c>
      <c r="H10" s="14">
        <f t="shared" si="2"/>
        <v>0</v>
      </c>
      <c r="I10" s="14" t="e">
        <f t="shared" si="4"/>
        <v>#VALUE!</v>
      </c>
      <c r="J10" s="14" t="e">
        <f>(I10/3)*TDF_Buffer</f>
        <v>#VALUE!</v>
      </c>
      <c r="K10" s="14" t="e">
        <f t="shared" si="5"/>
        <v>#VALUE!</v>
      </c>
    </row>
    <row r="11" spans="1:11" x14ac:dyDescent="0.35">
      <c r="A11" s="13" t="s">
        <v>26</v>
      </c>
      <c r="B11" s="13">
        <v>2</v>
      </c>
      <c r="C11" s="14" t="e">
        <f>(ANC_Population*(1+Pop_Growth_Rate/100)/4)*(HBV_Y2_Screening_Target/100)</f>
        <v>#VALUE!</v>
      </c>
      <c r="D11" s="14" t="e">
        <f t="shared" si="0"/>
        <v>#VALUE!</v>
      </c>
      <c r="E11" s="14">
        <f>HBV_Y2_Treatment_Target</f>
        <v>0</v>
      </c>
      <c r="F11" s="14" t="e">
        <f t="shared" si="3"/>
        <v>#VALUE!</v>
      </c>
      <c r="G11" s="14">
        <f t="shared" si="1"/>
        <v>0</v>
      </c>
      <c r="H11" s="14">
        <f t="shared" si="2"/>
        <v>0</v>
      </c>
      <c r="I11" s="14" t="e">
        <f t="shared" si="4"/>
        <v>#VALUE!</v>
      </c>
      <c r="J11" s="14">
        <v>0</v>
      </c>
      <c r="K11" s="14" t="e">
        <f t="shared" si="5"/>
        <v>#VALUE!</v>
      </c>
    </row>
    <row r="12" spans="1:11" x14ac:dyDescent="0.35">
      <c r="A12" s="13" t="s">
        <v>27</v>
      </c>
      <c r="B12" s="13">
        <v>2</v>
      </c>
      <c r="C12" s="14" t="e">
        <f>(ANC_Population*(1+Pop_Growth_Rate/100)/4)*(HBV_Y2_Screening_Target/100)</f>
        <v>#VALUE!</v>
      </c>
      <c r="D12" s="14" t="e">
        <f t="shared" si="0"/>
        <v>#VALUE!</v>
      </c>
      <c r="E12" s="14">
        <f>HBV_Y2_Treatment_Target</f>
        <v>0</v>
      </c>
      <c r="F12" s="14" t="e">
        <f t="shared" si="3"/>
        <v>#VALUE!</v>
      </c>
      <c r="G12" s="14">
        <f t="shared" si="1"/>
        <v>0</v>
      </c>
      <c r="H12" s="14">
        <f t="shared" si="2"/>
        <v>0</v>
      </c>
      <c r="I12" s="14" t="e">
        <f t="shared" si="4"/>
        <v>#VALUE!</v>
      </c>
      <c r="J12" s="14">
        <v>0</v>
      </c>
      <c r="K12" s="14" t="e">
        <f t="shared" si="5"/>
        <v>#VALUE!</v>
      </c>
    </row>
    <row r="13" spans="1:11" x14ac:dyDescent="0.35">
      <c r="A13" s="13" t="s">
        <v>28</v>
      </c>
      <c r="B13" s="13">
        <v>2</v>
      </c>
      <c r="C13" s="14" t="e">
        <f>(ANC_Population*(1+Pop_Growth_Rate/100)/4)*(HBV_Y2_Screening_Target/100)</f>
        <v>#VALUE!</v>
      </c>
      <c r="D13" s="14" t="e">
        <f t="shared" si="0"/>
        <v>#VALUE!</v>
      </c>
      <c r="E13" s="14">
        <f>HBV_Y2_Treatment_Target</f>
        <v>0</v>
      </c>
      <c r="F13" s="14" t="e">
        <f t="shared" si="3"/>
        <v>#VALUE!</v>
      </c>
      <c r="G13" s="14">
        <f t="shared" si="1"/>
        <v>0</v>
      </c>
      <c r="H13" s="14">
        <f t="shared" si="2"/>
        <v>0</v>
      </c>
      <c r="I13" s="14" t="e">
        <f t="shared" si="4"/>
        <v>#VALUE!</v>
      </c>
      <c r="J13" s="14">
        <v>0</v>
      </c>
      <c r="K13" s="14" t="e">
        <f t="shared" si="5"/>
        <v>#VALUE!</v>
      </c>
    </row>
    <row r="14" spans="1:11" x14ac:dyDescent="0.35">
      <c r="A14" s="13" t="s">
        <v>25</v>
      </c>
      <c r="B14" s="13">
        <v>3</v>
      </c>
      <c r="C14" s="14" t="e">
        <f>(ANC_Population*(1+Pop_Growth_Rate/100)^2/4)*(HBV_Y3_Screening_Target/100)</f>
        <v>#VALUE!</v>
      </c>
      <c r="D14" s="14" t="e">
        <f t="shared" si="0"/>
        <v>#VALUE!</v>
      </c>
      <c r="E14" s="14">
        <f>HBV_Y3_Treatment_Target</f>
        <v>0</v>
      </c>
      <c r="F14" s="14" t="e">
        <f t="shared" si="3"/>
        <v>#VALUE!</v>
      </c>
      <c r="G14" s="14">
        <f t="shared" si="1"/>
        <v>0</v>
      </c>
      <c r="H14" s="14">
        <f t="shared" si="2"/>
        <v>0</v>
      </c>
      <c r="I14" s="14" t="e">
        <f t="shared" si="4"/>
        <v>#VALUE!</v>
      </c>
      <c r="J14" s="14" t="e">
        <f>(I14/3)*TDF_Buffer</f>
        <v>#VALUE!</v>
      </c>
      <c r="K14" s="14" t="e">
        <f t="shared" si="5"/>
        <v>#VALUE!</v>
      </c>
    </row>
    <row r="15" spans="1:11" x14ac:dyDescent="0.35">
      <c r="A15" s="13" t="s">
        <v>26</v>
      </c>
      <c r="B15" s="13">
        <v>3</v>
      </c>
      <c r="C15" s="14" t="e">
        <f>(ANC_Population*(1+Pop_Growth_Rate/100)^2/4)*(HBV_Y3_Screening_Target/100)</f>
        <v>#VALUE!</v>
      </c>
      <c r="D15" s="14" t="e">
        <f t="shared" si="0"/>
        <v>#VALUE!</v>
      </c>
      <c r="E15" s="14">
        <f>HBV_Y3_Treatment_Target</f>
        <v>0</v>
      </c>
      <c r="F15" s="14" t="e">
        <f t="shared" si="3"/>
        <v>#VALUE!</v>
      </c>
      <c r="G15" s="14">
        <f t="shared" si="1"/>
        <v>0</v>
      </c>
      <c r="H15" s="14">
        <f t="shared" si="2"/>
        <v>0</v>
      </c>
      <c r="I15" s="14" t="e">
        <f t="shared" si="4"/>
        <v>#VALUE!</v>
      </c>
      <c r="J15" s="14">
        <v>0</v>
      </c>
      <c r="K15" s="14" t="e">
        <f t="shared" si="5"/>
        <v>#VALUE!</v>
      </c>
    </row>
    <row r="16" spans="1:11" x14ac:dyDescent="0.35">
      <c r="A16" s="13" t="s">
        <v>27</v>
      </c>
      <c r="B16" s="13">
        <v>3</v>
      </c>
      <c r="C16" s="14" t="e">
        <f>(ANC_Population*(1+Pop_Growth_Rate/100)^2/4)*(HBV_Y3_Screening_Target/100)</f>
        <v>#VALUE!</v>
      </c>
      <c r="D16" s="14" t="e">
        <f t="shared" si="0"/>
        <v>#VALUE!</v>
      </c>
      <c r="E16" s="14">
        <f>HBV_Y3_Treatment_Target</f>
        <v>0</v>
      </c>
      <c r="F16" s="14" t="e">
        <f t="shared" si="3"/>
        <v>#VALUE!</v>
      </c>
      <c r="G16" s="14">
        <f t="shared" si="1"/>
        <v>0</v>
      </c>
      <c r="H16" s="14">
        <f t="shared" si="2"/>
        <v>0</v>
      </c>
      <c r="I16" s="14" t="e">
        <f t="shared" si="4"/>
        <v>#VALUE!</v>
      </c>
      <c r="J16" s="14">
        <v>0</v>
      </c>
      <c r="K16" s="14" t="e">
        <f t="shared" si="5"/>
        <v>#VALUE!</v>
      </c>
    </row>
    <row r="17" spans="1:11" x14ac:dyDescent="0.35">
      <c r="A17" s="13" t="s">
        <v>28</v>
      </c>
      <c r="B17" s="13">
        <v>3</v>
      </c>
      <c r="C17" s="14" t="e">
        <f>(ANC_Population*(1+Pop_Growth_Rate/100)^2/4)*(HBV_Y3_Screening_Target/100)</f>
        <v>#VALUE!</v>
      </c>
      <c r="D17" s="14" t="e">
        <f t="shared" si="0"/>
        <v>#VALUE!</v>
      </c>
      <c r="E17" s="14">
        <f>HBV_Y3_Treatment_Target</f>
        <v>0</v>
      </c>
      <c r="F17" s="14" t="e">
        <f t="shared" si="3"/>
        <v>#VALUE!</v>
      </c>
      <c r="G17" s="14">
        <f t="shared" si="1"/>
        <v>0</v>
      </c>
      <c r="H17" s="14">
        <f t="shared" si="2"/>
        <v>0</v>
      </c>
      <c r="I17" s="14" t="e">
        <f t="shared" si="4"/>
        <v>#VALUE!</v>
      </c>
      <c r="J17" s="14">
        <v>0</v>
      </c>
      <c r="K17" s="14" t="e">
        <f t="shared" si="5"/>
        <v>#VALUE!</v>
      </c>
    </row>
    <row r="18" spans="1:11" x14ac:dyDescent="0.35">
      <c r="C18" s="48"/>
      <c r="D18" s="48"/>
      <c r="E18" s="48"/>
      <c r="F18" s="48"/>
      <c r="G18" s="48"/>
      <c r="H18" s="48"/>
      <c r="I18" s="48"/>
      <c r="J18" s="48"/>
      <c r="K18" s="48"/>
    </row>
    <row r="19" spans="1:11" x14ac:dyDescent="0.35">
      <c r="A19" s="24" t="s">
        <v>29</v>
      </c>
      <c r="B19" s="24"/>
      <c r="C19" s="107"/>
      <c r="D19" s="107"/>
      <c r="E19" s="107"/>
      <c r="F19" s="107"/>
      <c r="G19" s="107"/>
      <c r="H19" s="107"/>
      <c r="I19" s="107" t="e">
        <f>SUM(I6:I9)</f>
        <v>#VALUE!</v>
      </c>
      <c r="J19" s="107" t="e">
        <f>SUM(J6:J9)</f>
        <v>#VALUE!</v>
      </c>
      <c r="K19" s="107" t="e">
        <f>SUM(K6:K9)</f>
        <v>#VALUE!</v>
      </c>
    </row>
    <row r="20" spans="1:11" x14ac:dyDescent="0.35">
      <c r="A20" s="24" t="s">
        <v>30</v>
      </c>
      <c r="B20" s="24"/>
      <c r="C20" s="107"/>
      <c r="D20" s="107"/>
      <c r="E20" s="107"/>
      <c r="F20" s="107"/>
      <c r="G20" s="107"/>
      <c r="H20" s="107"/>
      <c r="I20" s="107" t="e">
        <f>SUM(I10:I13)</f>
        <v>#VALUE!</v>
      </c>
      <c r="J20" s="107" t="e">
        <f>SUM(J10:J13)</f>
        <v>#VALUE!</v>
      </c>
      <c r="K20" s="107" t="e">
        <f>SUM(K10:K13)</f>
        <v>#VALUE!</v>
      </c>
    </row>
    <row r="21" spans="1:11" x14ac:dyDescent="0.35">
      <c r="A21" s="24" t="s">
        <v>31</v>
      </c>
      <c r="B21" s="24"/>
      <c r="C21" s="107"/>
      <c r="D21" s="107"/>
      <c r="E21" s="107"/>
      <c r="F21" s="107"/>
      <c r="G21" s="107"/>
      <c r="H21" s="107"/>
      <c r="I21" s="107" t="e">
        <f>SUM(I14:I17)</f>
        <v>#VALUE!</v>
      </c>
      <c r="J21" s="107" t="e">
        <f>SUM(J14:J17)</f>
        <v>#VALUE!</v>
      </c>
      <c r="K21" s="107" t="e">
        <f>SUM(K14:K17)</f>
        <v>#VALUE!</v>
      </c>
    </row>
    <row r="22" spans="1:11" x14ac:dyDescent="0.35">
      <c r="C22" s="48"/>
      <c r="D22" s="48"/>
      <c r="E22" s="48"/>
      <c r="F22" s="48"/>
      <c r="G22" s="48"/>
      <c r="H22" s="48"/>
      <c r="I22" s="48"/>
      <c r="J22" s="48"/>
      <c r="K22" s="48"/>
    </row>
    <row r="23" spans="1:11" ht="16" x14ac:dyDescent="0.4">
      <c r="A23" s="141" t="s">
        <v>32</v>
      </c>
      <c r="B23" s="141"/>
      <c r="C23" s="142"/>
      <c r="D23" s="142"/>
      <c r="E23" s="142"/>
      <c r="F23" s="142"/>
      <c r="G23" s="142"/>
      <c r="H23" s="142"/>
      <c r="I23" s="142" t="e">
        <f>SUM(I19:I21)</f>
        <v>#VALUE!</v>
      </c>
      <c r="J23" s="142" t="e">
        <f>SUM(J19:J21)</f>
        <v>#VALUE!</v>
      </c>
      <c r="K23" s="142" t="e">
        <f>SUM(K19:K21)</f>
        <v>#VALUE!</v>
      </c>
    </row>
    <row r="25" spans="1:11" s="85" customFormat="1" ht="16" x14ac:dyDescent="0.4">
      <c r="A25" s="85" t="s">
        <v>114</v>
      </c>
    </row>
    <row r="27" spans="1:11" ht="43.5" x14ac:dyDescent="0.35">
      <c r="A27" s="58" t="s">
        <v>19</v>
      </c>
      <c r="B27" s="58" t="s">
        <v>20</v>
      </c>
      <c r="C27" s="57" t="s">
        <v>131</v>
      </c>
      <c r="D27" s="58" t="s">
        <v>34</v>
      </c>
      <c r="E27" s="58" t="s">
        <v>35</v>
      </c>
      <c r="F27" s="57" t="s">
        <v>122</v>
      </c>
      <c r="G27" s="57" t="s">
        <v>124</v>
      </c>
      <c r="H27" s="57" t="s">
        <v>127</v>
      </c>
      <c r="I27" s="57" t="s">
        <v>123</v>
      </c>
      <c r="J27" s="58" t="s">
        <v>22</v>
      </c>
      <c r="K27" s="58" t="s">
        <v>24</v>
      </c>
    </row>
    <row r="28" spans="1:11" x14ac:dyDescent="0.35">
      <c r="A28" s="13" t="s">
        <v>25</v>
      </c>
      <c r="B28" s="13">
        <v>1</v>
      </c>
      <c r="C28" s="14">
        <f>IF(HBV_Other_Population="",0,(HBV_Other_Population/4)*(HBV_Other_Y1_Screening_Target/100))</f>
        <v>0</v>
      </c>
      <c r="D28" s="14">
        <f t="shared" ref="D28:D39" si="6">IF(HBV_Other_Population="",0,C28*(Other_HBV_Prevalence/100))</f>
        <v>0</v>
      </c>
      <c r="E28" s="14">
        <f>IF(HBV_Other_Population="",0,HBV_Other_Y1_Treatment_Target)</f>
        <v>0</v>
      </c>
      <c r="F28" s="14">
        <f>D28*(E28/100)</f>
        <v>0</v>
      </c>
      <c r="G28" s="14">
        <f t="shared" ref="G28:G39" si="7">IF(HBV_Other_Population="",0,IF(HBV_Other_Partners_Rate_Treatment="",0,F28*HBV_Other_Partners_Rate_Treatment))</f>
        <v>0</v>
      </c>
      <c r="H28" s="14">
        <f t="shared" ref="H28:H39" si="8">IF(HBV_Other_Population="",0,IF(Other_TDF_Supply_PerPerson="",0,Other_TDF_Supply_PerPerson))</f>
        <v>0</v>
      </c>
      <c r="I28" s="14">
        <f>(F28+G28)*H28</f>
        <v>0</v>
      </c>
      <c r="J28" s="14">
        <f>(I28/3)*IF(Other_TDF_Buffer="",TDF_Buffer,Other_TDF_Buffer)</f>
        <v>0</v>
      </c>
      <c r="K28" s="14">
        <f>I28+J28</f>
        <v>0</v>
      </c>
    </row>
    <row r="29" spans="1:11" x14ac:dyDescent="0.35">
      <c r="A29" s="13" t="s">
        <v>26</v>
      </c>
      <c r="B29" s="13">
        <v>1</v>
      </c>
      <c r="C29" s="14">
        <f>IF(HBV_Other_Population="",0,(HBV_Other_Population/4)*(HBV_Other_Y1_Screening_Target/100))</f>
        <v>0</v>
      </c>
      <c r="D29" s="14">
        <f t="shared" si="6"/>
        <v>0</v>
      </c>
      <c r="E29" s="14">
        <f>IF(HBV_Other_Population="",0,HBV_Other_Y1_Treatment_Target)</f>
        <v>0</v>
      </c>
      <c r="F29" s="14">
        <f t="shared" ref="F29:F39" si="9">D29*(E29/100)</f>
        <v>0</v>
      </c>
      <c r="G29" s="14">
        <f t="shared" si="7"/>
        <v>0</v>
      </c>
      <c r="H29" s="14">
        <f t="shared" si="8"/>
        <v>0</v>
      </c>
      <c r="I29" s="14">
        <f t="shared" ref="I29:I39" si="10">(F29+G29)*H29</f>
        <v>0</v>
      </c>
      <c r="J29" s="14">
        <v>0</v>
      </c>
      <c r="K29" s="14">
        <f t="shared" ref="K29:K39" si="11">I29+J29</f>
        <v>0</v>
      </c>
    </row>
    <row r="30" spans="1:11" x14ac:dyDescent="0.35">
      <c r="A30" s="13" t="s">
        <v>27</v>
      </c>
      <c r="B30" s="13">
        <v>1</v>
      </c>
      <c r="C30" s="14">
        <f>IF(HBV_Other_Population="",0,(HBV_Other_Population/4)*(HBV_Other_Y1_Screening_Target/100))</f>
        <v>0</v>
      </c>
      <c r="D30" s="14">
        <f t="shared" si="6"/>
        <v>0</v>
      </c>
      <c r="E30" s="14">
        <f>IF(HBV_Other_Population="",0,HBV_Other_Y1_Treatment_Target)</f>
        <v>0</v>
      </c>
      <c r="F30" s="14">
        <f t="shared" si="9"/>
        <v>0</v>
      </c>
      <c r="G30" s="14">
        <f t="shared" si="7"/>
        <v>0</v>
      </c>
      <c r="H30" s="14">
        <f t="shared" si="8"/>
        <v>0</v>
      </c>
      <c r="I30" s="14">
        <f t="shared" si="10"/>
        <v>0</v>
      </c>
      <c r="J30" s="14">
        <v>0</v>
      </c>
      <c r="K30" s="14">
        <f t="shared" si="11"/>
        <v>0</v>
      </c>
    </row>
    <row r="31" spans="1:11" x14ac:dyDescent="0.35">
      <c r="A31" s="13" t="s">
        <v>28</v>
      </c>
      <c r="B31" s="13">
        <v>1</v>
      </c>
      <c r="C31" s="14">
        <f>IF(HBV_Other_Population="",0,(HBV_Other_Population/4)*(HBV_Other_Y1_Screening_Target/100))</f>
        <v>0</v>
      </c>
      <c r="D31" s="14">
        <f t="shared" si="6"/>
        <v>0</v>
      </c>
      <c r="E31" s="14">
        <f>IF(HBV_Other_Population="",0,HBV_Other_Y1_Treatment_Target)</f>
        <v>0</v>
      </c>
      <c r="F31" s="14">
        <f t="shared" si="9"/>
        <v>0</v>
      </c>
      <c r="G31" s="14">
        <f t="shared" si="7"/>
        <v>0</v>
      </c>
      <c r="H31" s="14">
        <f t="shared" si="8"/>
        <v>0</v>
      </c>
      <c r="I31" s="14">
        <f t="shared" si="10"/>
        <v>0</v>
      </c>
      <c r="J31" s="14">
        <v>0</v>
      </c>
      <c r="K31" s="14">
        <f t="shared" si="11"/>
        <v>0</v>
      </c>
    </row>
    <row r="32" spans="1:11" x14ac:dyDescent="0.35">
      <c r="A32" s="13" t="s">
        <v>25</v>
      </c>
      <c r="B32" s="13">
        <v>2</v>
      </c>
      <c r="C32" s="14">
        <f>IF(HBV_Other_Population="",0,(HBV_Other_Population/4)*(HBV_Other_Y2_Screening_Target/100))</f>
        <v>0</v>
      </c>
      <c r="D32" s="14">
        <f t="shared" si="6"/>
        <v>0</v>
      </c>
      <c r="E32" s="14">
        <f>IF(HBV_Other_Population="",0,HBV_Other_Y2_Treatment_Target)</f>
        <v>0</v>
      </c>
      <c r="F32" s="14">
        <f t="shared" si="9"/>
        <v>0</v>
      </c>
      <c r="G32" s="14">
        <f t="shared" si="7"/>
        <v>0</v>
      </c>
      <c r="H32" s="14">
        <f t="shared" si="8"/>
        <v>0</v>
      </c>
      <c r="I32" s="14">
        <f t="shared" si="10"/>
        <v>0</v>
      </c>
      <c r="J32" s="14">
        <f>(I32/3)*IF(Other_TDF_Buffer="",TDF_Buffer,Other_TDF_Buffer)</f>
        <v>0</v>
      </c>
      <c r="K32" s="14">
        <f t="shared" si="11"/>
        <v>0</v>
      </c>
    </row>
    <row r="33" spans="1:11" x14ac:dyDescent="0.35">
      <c r="A33" s="13" t="s">
        <v>26</v>
      </c>
      <c r="B33" s="13">
        <v>2</v>
      </c>
      <c r="C33" s="14">
        <f>IF(HBV_Other_Population="",0,(HBV_Other_Population/4)*(HBV_Other_Y2_Screening_Target/100))</f>
        <v>0</v>
      </c>
      <c r="D33" s="14">
        <f t="shared" si="6"/>
        <v>0</v>
      </c>
      <c r="E33" s="14">
        <f>IF(HBV_Other_Population="",0,HBV_Other_Y2_Treatment_Target)</f>
        <v>0</v>
      </c>
      <c r="F33" s="14">
        <f t="shared" si="9"/>
        <v>0</v>
      </c>
      <c r="G33" s="14">
        <f t="shared" si="7"/>
        <v>0</v>
      </c>
      <c r="H33" s="14">
        <f t="shared" si="8"/>
        <v>0</v>
      </c>
      <c r="I33" s="14">
        <f t="shared" si="10"/>
        <v>0</v>
      </c>
      <c r="J33" s="14">
        <v>0</v>
      </c>
      <c r="K33" s="14">
        <f t="shared" si="11"/>
        <v>0</v>
      </c>
    </row>
    <row r="34" spans="1:11" x14ac:dyDescent="0.35">
      <c r="A34" s="13" t="s">
        <v>27</v>
      </c>
      <c r="B34" s="13">
        <v>2</v>
      </c>
      <c r="C34" s="14">
        <f>IF(HBV_Other_Population="",0,(HBV_Other_Population/4)*(HBV_Other_Y2_Screening_Target/100))</f>
        <v>0</v>
      </c>
      <c r="D34" s="14">
        <f t="shared" si="6"/>
        <v>0</v>
      </c>
      <c r="E34" s="14">
        <f>IF(HBV_Other_Population="",0,HBV_Other_Y2_Treatment_Target)</f>
        <v>0</v>
      </c>
      <c r="F34" s="14">
        <f t="shared" si="9"/>
        <v>0</v>
      </c>
      <c r="G34" s="14">
        <f t="shared" si="7"/>
        <v>0</v>
      </c>
      <c r="H34" s="14">
        <f t="shared" si="8"/>
        <v>0</v>
      </c>
      <c r="I34" s="14">
        <f t="shared" si="10"/>
        <v>0</v>
      </c>
      <c r="J34" s="14">
        <v>0</v>
      </c>
      <c r="K34" s="14">
        <f t="shared" si="11"/>
        <v>0</v>
      </c>
    </row>
    <row r="35" spans="1:11" x14ac:dyDescent="0.35">
      <c r="A35" s="13" t="s">
        <v>28</v>
      </c>
      <c r="B35" s="13">
        <v>2</v>
      </c>
      <c r="C35" s="14">
        <f>IF(HBV_Other_Population="",0,(HBV_Other_Population/4)*(HBV_Other_Y2_Screening_Target/100))</f>
        <v>0</v>
      </c>
      <c r="D35" s="14">
        <f t="shared" si="6"/>
        <v>0</v>
      </c>
      <c r="E35" s="14">
        <f>IF(HBV_Other_Population="",0,HBV_Other_Y2_Treatment_Target)</f>
        <v>0</v>
      </c>
      <c r="F35" s="14">
        <f t="shared" si="9"/>
        <v>0</v>
      </c>
      <c r="G35" s="14">
        <f t="shared" si="7"/>
        <v>0</v>
      </c>
      <c r="H35" s="14">
        <f t="shared" si="8"/>
        <v>0</v>
      </c>
      <c r="I35" s="14">
        <f t="shared" si="10"/>
        <v>0</v>
      </c>
      <c r="J35" s="14">
        <v>0</v>
      </c>
      <c r="K35" s="14">
        <f t="shared" si="11"/>
        <v>0</v>
      </c>
    </row>
    <row r="36" spans="1:11" x14ac:dyDescent="0.35">
      <c r="A36" s="13" t="s">
        <v>25</v>
      </c>
      <c r="B36" s="13">
        <v>3</v>
      </c>
      <c r="C36" s="14">
        <f>IF(HBV_Other_Population="",0,(HBV_Other_Population/4)*(HBV_Other_Y3_Screening_Target/100))</f>
        <v>0</v>
      </c>
      <c r="D36" s="14">
        <f t="shared" si="6"/>
        <v>0</v>
      </c>
      <c r="E36" s="14">
        <f>IF(HBV_Other_Population="",0,HBV_Other_Y3_Treatment_Target)</f>
        <v>0</v>
      </c>
      <c r="F36" s="14">
        <f t="shared" si="9"/>
        <v>0</v>
      </c>
      <c r="G36" s="14">
        <f t="shared" si="7"/>
        <v>0</v>
      </c>
      <c r="H36" s="14">
        <f t="shared" si="8"/>
        <v>0</v>
      </c>
      <c r="I36" s="14">
        <f t="shared" si="10"/>
        <v>0</v>
      </c>
      <c r="J36" s="14">
        <f>(I36/3)*IF(Other_TDF_Buffer="",TDF_Buffer,Other_TDF_Buffer)</f>
        <v>0</v>
      </c>
      <c r="K36" s="14">
        <f t="shared" si="11"/>
        <v>0</v>
      </c>
    </row>
    <row r="37" spans="1:11" x14ac:dyDescent="0.35">
      <c r="A37" s="13" t="s">
        <v>26</v>
      </c>
      <c r="B37" s="13">
        <v>3</v>
      </c>
      <c r="C37" s="14">
        <f>IF(HBV_Other_Population="",0,(HBV_Other_Population/4)*(HBV_Other_Y3_Screening_Target/100))</f>
        <v>0</v>
      </c>
      <c r="D37" s="14">
        <f t="shared" si="6"/>
        <v>0</v>
      </c>
      <c r="E37" s="14">
        <f>IF(HBV_Other_Population="",0,HBV_Other_Y3_Treatment_Target)</f>
        <v>0</v>
      </c>
      <c r="F37" s="14">
        <f t="shared" si="9"/>
        <v>0</v>
      </c>
      <c r="G37" s="14">
        <f t="shared" si="7"/>
        <v>0</v>
      </c>
      <c r="H37" s="14">
        <f t="shared" si="8"/>
        <v>0</v>
      </c>
      <c r="I37" s="14">
        <f t="shared" si="10"/>
        <v>0</v>
      </c>
      <c r="J37" s="14">
        <v>0</v>
      </c>
      <c r="K37" s="14">
        <f t="shared" si="11"/>
        <v>0</v>
      </c>
    </row>
    <row r="38" spans="1:11" x14ac:dyDescent="0.35">
      <c r="A38" s="13" t="s">
        <v>27</v>
      </c>
      <c r="B38" s="13">
        <v>3</v>
      </c>
      <c r="C38" s="14">
        <f>IF(HBV_Other_Population="",0,(HBV_Other_Population/4)*(HBV_Other_Y3_Screening_Target/100))</f>
        <v>0</v>
      </c>
      <c r="D38" s="14">
        <f t="shared" si="6"/>
        <v>0</v>
      </c>
      <c r="E38" s="14">
        <f>IF(HBV_Other_Population="",0,HBV_Other_Y3_Treatment_Target)</f>
        <v>0</v>
      </c>
      <c r="F38" s="14">
        <f t="shared" si="9"/>
        <v>0</v>
      </c>
      <c r="G38" s="14">
        <f t="shared" si="7"/>
        <v>0</v>
      </c>
      <c r="H38" s="14">
        <f t="shared" si="8"/>
        <v>0</v>
      </c>
      <c r="I38" s="14">
        <f t="shared" si="10"/>
        <v>0</v>
      </c>
      <c r="J38" s="14">
        <v>0</v>
      </c>
      <c r="K38" s="14">
        <f t="shared" si="11"/>
        <v>0</v>
      </c>
    </row>
    <row r="39" spans="1:11" x14ac:dyDescent="0.35">
      <c r="A39" s="13" t="s">
        <v>28</v>
      </c>
      <c r="B39" s="13">
        <v>3</v>
      </c>
      <c r="C39" s="14">
        <f>IF(HBV_Other_Population="",0,(HBV_Other_Population/4)*(HBV_Other_Y3_Screening_Target/100))</f>
        <v>0</v>
      </c>
      <c r="D39" s="14">
        <f t="shared" si="6"/>
        <v>0</v>
      </c>
      <c r="E39" s="14">
        <f>IF(HBV_Other_Population="",0,HBV_Other_Y3_Treatment_Target)</f>
        <v>0</v>
      </c>
      <c r="F39" s="14">
        <f t="shared" si="9"/>
        <v>0</v>
      </c>
      <c r="G39" s="14">
        <f t="shared" si="7"/>
        <v>0</v>
      </c>
      <c r="H39" s="14">
        <f t="shared" si="8"/>
        <v>0</v>
      </c>
      <c r="I39" s="14">
        <f t="shared" si="10"/>
        <v>0</v>
      </c>
      <c r="J39" s="14">
        <v>0</v>
      </c>
      <c r="K39" s="14">
        <f t="shared" si="11"/>
        <v>0</v>
      </c>
    </row>
    <row r="41" spans="1:11" x14ac:dyDescent="0.35">
      <c r="A41" s="24" t="s">
        <v>29</v>
      </c>
      <c r="B41" s="24"/>
      <c r="C41" s="107"/>
      <c r="D41" s="107"/>
      <c r="E41" s="107"/>
      <c r="F41" s="107"/>
      <c r="G41" s="107"/>
      <c r="H41" s="107"/>
      <c r="I41" s="107">
        <f>SUM(I28:I31)</f>
        <v>0</v>
      </c>
      <c r="J41" s="107">
        <f>SUM(J28:J31)</f>
        <v>0</v>
      </c>
      <c r="K41" s="107">
        <f>SUM(K28:K31)</f>
        <v>0</v>
      </c>
    </row>
    <row r="42" spans="1:11" x14ac:dyDescent="0.35">
      <c r="A42" s="24" t="s">
        <v>30</v>
      </c>
      <c r="B42" s="24"/>
      <c r="C42" s="107"/>
      <c r="D42" s="107"/>
      <c r="E42" s="107"/>
      <c r="F42" s="107"/>
      <c r="G42" s="107"/>
      <c r="H42" s="107"/>
      <c r="I42" s="107">
        <f>SUM(I32:I35)</f>
        <v>0</v>
      </c>
      <c r="J42" s="107">
        <f t="shared" ref="J42" si="12">SUM(J32:J35)</f>
        <v>0</v>
      </c>
      <c r="K42" s="107">
        <f>SUM(K32:K35)</f>
        <v>0</v>
      </c>
    </row>
    <row r="43" spans="1:11" x14ac:dyDescent="0.35">
      <c r="A43" s="24" t="s">
        <v>31</v>
      </c>
      <c r="B43" s="24"/>
      <c r="C43" s="107"/>
      <c r="D43" s="107"/>
      <c r="E43" s="107"/>
      <c r="F43" s="107"/>
      <c r="G43" s="107"/>
      <c r="H43" s="107"/>
      <c r="I43" s="107">
        <f>SUM(I36:I39)</f>
        <v>0</v>
      </c>
      <c r="J43" s="107">
        <f t="shared" ref="J43" si="13">SUM(J36:J39)</f>
        <v>0</v>
      </c>
      <c r="K43" s="107">
        <f>SUM(K36:K39)</f>
        <v>0</v>
      </c>
    </row>
    <row r="45" spans="1:11" ht="16" x14ac:dyDescent="0.4">
      <c r="A45" s="141" t="s">
        <v>32</v>
      </c>
      <c r="B45" s="141"/>
      <c r="C45" s="142"/>
      <c r="D45" s="142"/>
      <c r="E45" s="142"/>
      <c r="F45" s="142"/>
      <c r="G45" s="142"/>
      <c r="H45" s="142"/>
      <c r="I45" s="142">
        <f>SUM(I41:I43)</f>
        <v>0</v>
      </c>
      <c r="J45" s="142">
        <f t="shared" ref="J45" si="14">SUM(J41:J43)</f>
        <v>0</v>
      </c>
      <c r="K45" s="142">
        <f>SUM(K41:K43)</f>
        <v>0</v>
      </c>
    </row>
  </sheetData>
  <sheetProtection sheet="1" formatColumns="0" formatRows="0" selectLockedCells="1" selectUn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2CECF-A32D-4B3B-A656-BE5569885B42}">
  <dimension ref="A1:F72"/>
  <sheetViews>
    <sheetView topLeftCell="A12" workbookViewId="0">
      <selection activeCell="D49" sqref="D49"/>
    </sheetView>
  </sheetViews>
  <sheetFormatPr defaultRowHeight="14.5" x14ac:dyDescent="0.35"/>
  <cols>
    <col min="1" max="1" width="39.7265625" customWidth="1"/>
    <col min="2" max="2" width="15.54296875" customWidth="1"/>
    <col min="3" max="3" width="16.54296875" customWidth="1"/>
    <col min="4" max="4" width="24.453125" customWidth="1"/>
    <col min="5" max="5" width="26.1796875" customWidth="1"/>
    <col min="6" max="6" width="15.54296875" customWidth="1"/>
  </cols>
  <sheetData>
    <row r="1" spans="1:2" s="406" customFormat="1" ht="28.5" customHeight="1" x14ac:dyDescent="0.35">
      <c r="A1" s="406" t="s">
        <v>36</v>
      </c>
    </row>
    <row r="3" spans="1:2" s="405" customFormat="1" x14ac:dyDescent="0.35">
      <c r="A3" s="405" t="s">
        <v>37</v>
      </c>
    </row>
    <row r="4" spans="1:2" x14ac:dyDescent="0.35">
      <c r="A4" s="13" t="str">
        <f>"Base Cost (EXW) ("&amp;Currency&amp;")"</f>
        <v>Base Cost (EXW) ()</v>
      </c>
      <c r="B4" s="68">
        <f>DualTest_UnitCost</f>
        <v>0</v>
      </c>
    </row>
    <row r="5" spans="1:2" x14ac:dyDescent="0.35">
      <c r="A5" s="13" t="s">
        <v>16</v>
      </c>
      <c r="B5" s="13">
        <f>LandedCost_Method</f>
        <v>0</v>
      </c>
    </row>
    <row r="6" spans="1:2" x14ac:dyDescent="0.35">
      <c r="A6" s="13" t="str">
        <f>"Calculated Landed Cost per Test ("&amp;Currency&amp;")"</f>
        <v>Calculated Landed Cost per Test ()</v>
      </c>
      <c r="B6" s="125">
        <f>IF(LandedCost_Method="Simple", DualTest_UnitCost*Simple_Multiplier, DualTest_UnitCost*(1+(Freight_Pct+Insurance_Pct+Warehousing_Pct+Distribution_Pct+QA_Pct+Customs_Pct)/100))</f>
        <v>0</v>
      </c>
    </row>
    <row r="7" spans="1:2" x14ac:dyDescent="0.35">
      <c r="A7" s="13" t="str">
        <f>"Calculated Landed Cost Per Pack ("&amp;Currency&amp;")"</f>
        <v>Calculated Landed Cost Per Pack ()</v>
      </c>
      <c r="B7" s="126">
        <f>DualTest_LandedCost*DualTest_PackSize</f>
        <v>0</v>
      </c>
    </row>
    <row r="8" spans="1:2" x14ac:dyDescent="0.35">
      <c r="B8" s="122"/>
    </row>
    <row r="9" spans="1:2" s="405" customFormat="1" x14ac:dyDescent="0.35">
      <c r="A9" s="405" t="s">
        <v>97</v>
      </c>
    </row>
    <row r="10" spans="1:2" x14ac:dyDescent="0.35">
      <c r="A10" s="13" t="str">
        <f>"Base Cost (EXW) ("&amp;Currency&amp;")"</f>
        <v>Base Cost (EXW) ()</v>
      </c>
      <c r="B10" s="125">
        <f>HBsAg_UnitCost</f>
        <v>0</v>
      </c>
    </row>
    <row r="11" spans="1:2" x14ac:dyDescent="0.35">
      <c r="A11" s="13" t="s">
        <v>16</v>
      </c>
      <c r="B11" s="13">
        <f>LandedCost_Method</f>
        <v>0</v>
      </c>
    </row>
    <row r="12" spans="1:2" x14ac:dyDescent="0.35">
      <c r="A12" s="13" t="str">
        <f>"Calculated Landed Cost per Test ("&amp;Currency&amp;")"</f>
        <v>Calculated Landed Cost per Test ()</v>
      </c>
      <c r="B12" s="125">
        <f>IF(LandedCost_Method="Simple", HBsAg_UnitCost*Simple_Multiplier, HBsAg_UnitCost*(1+(Freight_Pct+Insurance_Pct+Warehousing_Pct+Distribution_Pct+QA_Pct+Customs_Pct)/100))</f>
        <v>0</v>
      </c>
    </row>
    <row r="13" spans="1:2" x14ac:dyDescent="0.35">
      <c r="A13" s="13" t="str">
        <f>"Calculated Landed Cost Per Pack ("&amp;Currency&amp;")"</f>
        <v>Calculated Landed Cost Per Pack ()</v>
      </c>
      <c r="B13" s="126">
        <f>HBsAg_LandedCost*HBsAg_PackSize</f>
        <v>0</v>
      </c>
    </row>
    <row r="15" spans="1:2" s="405" customFormat="1" x14ac:dyDescent="0.35">
      <c r="A15" s="405" t="s">
        <v>78</v>
      </c>
    </row>
    <row r="16" spans="1:2" x14ac:dyDescent="0.35">
      <c r="A16" s="13" t="str">
        <f>"Base Cost (EXW) ("&amp;Currency&amp;")"</f>
        <v>Base Cost (EXW) ()</v>
      </c>
      <c r="B16" s="125">
        <f>TripleTest_UnitCost</f>
        <v>0</v>
      </c>
    </row>
    <row r="17" spans="1:2" x14ac:dyDescent="0.35">
      <c r="A17" s="13" t="s">
        <v>16</v>
      </c>
      <c r="B17" s="13">
        <f>LandedCost_Method</f>
        <v>0</v>
      </c>
    </row>
    <row r="18" spans="1:2" x14ac:dyDescent="0.35">
      <c r="A18" s="13" t="str">
        <f>"Calculated Landed Cost per Test ("&amp;Currency&amp;")"</f>
        <v>Calculated Landed Cost per Test ()</v>
      </c>
      <c r="B18" s="125">
        <f>IF(LandedCost_Method="Simple",TripleTest_UnitCost*Simple_Multiplier,TripleTest_UnitCost*(1+(Freight_Pct+Insurance_Pct+Warehousing_Pct+Distribution_Pct+QA_Pct+Customs_Pct)/100))</f>
        <v>0</v>
      </c>
    </row>
    <row r="19" spans="1:2" x14ac:dyDescent="0.35">
      <c r="A19" s="13" t="str">
        <f>"Calculated Landed Cost Per Pack ("&amp;Currency&amp;")"</f>
        <v>Calculated Landed Cost Per Pack ()</v>
      </c>
      <c r="B19" s="126">
        <f>B18*TripleTest_PackSize</f>
        <v>0</v>
      </c>
    </row>
    <row r="21" spans="1:2" s="405" customFormat="1" x14ac:dyDescent="0.35">
      <c r="A21" s="405" t="s">
        <v>38</v>
      </c>
    </row>
    <row r="22" spans="1:2" x14ac:dyDescent="0.35">
      <c r="A22" s="13" t="str">
        <f>"Base Cost ("&amp;Currency&amp;")"</f>
        <v>Base Cost ()</v>
      </c>
      <c r="B22" s="22">
        <f>BPG_UnitCost</f>
        <v>0</v>
      </c>
    </row>
    <row r="23" spans="1:2" x14ac:dyDescent="0.35">
      <c r="A23" s="13" t="s">
        <v>16</v>
      </c>
      <c r="B23" s="13">
        <f>LandedCost_Method</f>
        <v>0</v>
      </c>
    </row>
    <row r="24" spans="1:2" x14ac:dyDescent="0.35">
      <c r="A24" s="13" t="str">
        <f>"Calculated Landed Cost per Dose ("&amp;Currency&amp;")"</f>
        <v>Calculated Landed Cost per Dose ()</v>
      </c>
      <c r="B24" s="123">
        <f>IF(LandedCost_Method="Simple", BPG_UnitCost*Simple_Multiplier, BPG_UnitCost*(1+(Freight_Pct+Insurance_Pct+Warehousing_Pct+Distribution_Pct+QA_Pct+Customs_Pct)/100))</f>
        <v>0</v>
      </c>
    </row>
    <row r="25" spans="1:2" x14ac:dyDescent="0.35">
      <c r="A25" s="13" t="str">
        <f>"Calculated Landed Cost Per Pack ("&amp;Currency&amp;")"</f>
        <v>Calculated Landed Cost Per Pack ()</v>
      </c>
      <c r="B25" s="62">
        <f>BPG_LandedCost*BPG_PackSize</f>
        <v>0</v>
      </c>
    </row>
    <row r="27" spans="1:2" s="405" customFormat="1" x14ac:dyDescent="0.35">
      <c r="A27" s="405" t="s">
        <v>98</v>
      </c>
    </row>
    <row r="28" spans="1:2" x14ac:dyDescent="0.35">
      <c r="A28" s="13" t="str">
        <f>"Base Cost ("&amp;Currency&amp;")"</f>
        <v>Base Cost ()</v>
      </c>
      <c r="B28" s="226">
        <f>TDF_UnitCost</f>
        <v>0</v>
      </c>
    </row>
    <row r="29" spans="1:2" x14ac:dyDescent="0.35">
      <c r="A29" s="13" t="s">
        <v>16</v>
      </c>
      <c r="B29" s="13">
        <f>LandedCost_Method</f>
        <v>0</v>
      </c>
    </row>
    <row r="30" spans="1:2" x14ac:dyDescent="0.35">
      <c r="A30" s="13" t="str">
        <f>"Calculated Landed Cost per Dose ("&amp;Currency&amp;")"</f>
        <v>Calculated Landed Cost per Dose ()</v>
      </c>
      <c r="B30" s="123">
        <f>IF(LandedCost_Method="Simple", TDF_UnitCost*Simple_Multiplier, TDF_UnitCost*(1+(Freight_Pct+Insurance_Pct+Warehousing_Pct+Distribution_Pct+QA_Pct+Customs_Pct)/100))</f>
        <v>0</v>
      </c>
    </row>
    <row r="31" spans="1:2" x14ac:dyDescent="0.35">
      <c r="A31" s="13" t="str">
        <f>"Calculated Landed Cost Per Pack ("&amp;Currency&amp;")"</f>
        <v>Calculated Landed Cost Per Pack ()</v>
      </c>
      <c r="B31" s="62">
        <f>TDF_LandedCost*TDF_PackSize</f>
        <v>0</v>
      </c>
    </row>
    <row r="33" spans="1:6" s="124" customFormat="1" x14ac:dyDescent="0.35">
      <c r="A33" s="124" t="s">
        <v>39</v>
      </c>
    </row>
    <row r="35" spans="1:6" x14ac:dyDescent="0.35">
      <c r="A35" s="58" t="s">
        <v>40</v>
      </c>
      <c r="B35" s="58" t="s">
        <v>14</v>
      </c>
      <c r="C35" s="58" t="s">
        <v>20</v>
      </c>
      <c r="D35" s="58" t="s">
        <v>79</v>
      </c>
      <c r="E35" s="58" t="str">
        <f>"Landed Cost Per Pack ("&amp;Currency&amp;")"</f>
        <v>Landed Cost Per Pack ()</v>
      </c>
      <c r="F35" s="58" t="str">
        <f>"Total Cost ("&amp;Currency&amp;")"</f>
        <v>Total Cost ()</v>
      </c>
    </row>
    <row r="36" spans="1:6" x14ac:dyDescent="0.35">
      <c r="A36" s="13" t="s">
        <v>41</v>
      </c>
      <c r="B36" s="13" t="s">
        <v>111</v>
      </c>
      <c r="C36" s="13">
        <v>1</v>
      </c>
      <c r="D36" s="21" t="str">
        <f>Y1_DualTest_Packs</f>
        <v/>
      </c>
      <c r="E36" s="68">
        <f t="shared" ref="E36:E41" si="0">DualTest_LandedCostPerPack</f>
        <v>0</v>
      </c>
      <c r="F36" s="69" t="e">
        <f t="shared" ref="F36:F69" si="1">D36*E36</f>
        <v>#VALUE!</v>
      </c>
    </row>
    <row r="37" spans="1:6" x14ac:dyDescent="0.35">
      <c r="A37" s="13" t="s">
        <v>41</v>
      </c>
      <c r="B37" s="13" t="s">
        <v>111</v>
      </c>
      <c r="C37" s="13">
        <v>2</v>
      </c>
      <c r="D37" s="21" t="str">
        <f>Y2_DualTest_Packs</f>
        <v/>
      </c>
      <c r="E37" s="68">
        <f t="shared" si="0"/>
        <v>0</v>
      </c>
      <c r="F37" s="69" t="e">
        <f t="shared" si="1"/>
        <v>#VALUE!</v>
      </c>
    </row>
    <row r="38" spans="1:6" x14ac:dyDescent="0.35">
      <c r="A38" s="13" t="s">
        <v>41</v>
      </c>
      <c r="B38" s="13" t="s">
        <v>111</v>
      </c>
      <c r="C38" s="13">
        <v>3</v>
      </c>
      <c r="D38" s="21" t="str">
        <f>Y3_DualTest_Packs</f>
        <v/>
      </c>
      <c r="E38" s="68">
        <f t="shared" si="0"/>
        <v>0</v>
      </c>
      <c r="F38" s="69" t="e">
        <f t="shared" si="1"/>
        <v>#VALUE!</v>
      </c>
    </row>
    <row r="39" spans="1:6" x14ac:dyDescent="0.35">
      <c r="A39" s="13" t="s">
        <v>41</v>
      </c>
      <c r="B39" s="13" t="s">
        <v>55</v>
      </c>
      <c r="C39" s="13">
        <v>1</v>
      </c>
      <c r="D39" s="21">
        <f>IF(Other_Population="",0,Y1_Other_DualTest_Packs)</f>
        <v>0</v>
      </c>
      <c r="E39" s="68">
        <f t="shared" si="0"/>
        <v>0</v>
      </c>
      <c r="F39" s="69">
        <f t="shared" si="1"/>
        <v>0</v>
      </c>
    </row>
    <row r="40" spans="1:6" x14ac:dyDescent="0.35">
      <c r="A40" s="13" t="s">
        <v>41</v>
      </c>
      <c r="B40" s="13" t="s">
        <v>55</v>
      </c>
      <c r="C40" s="13">
        <v>2</v>
      </c>
      <c r="D40" s="21">
        <f>IF(Other_Population="",0,Y2_Other_DualTest_Packs)</f>
        <v>0</v>
      </c>
      <c r="E40" s="68">
        <f t="shared" si="0"/>
        <v>0</v>
      </c>
      <c r="F40" s="69">
        <f t="shared" si="1"/>
        <v>0</v>
      </c>
    </row>
    <row r="41" spans="1:6" x14ac:dyDescent="0.35">
      <c r="A41" s="13" t="s">
        <v>41</v>
      </c>
      <c r="B41" s="13" t="s">
        <v>55</v>
      </c>
      <c r="C41" s="13">
        <v>3</v>
      </c>
      <c r="D41" s="21">
        <f>IF(Other_Population="",0,Y3_Other_DualTest_Packs)</f>
        <v>0</v>
      </c>
      <c r="E41" s="68">
        <f t="shared" si="0"/>
        <v>0</v>
      </c>
      <c r="F41" s="69">
        <f t="shared" si="1"/>
        <v>0</v>
      </c>
    </row>
    <row r="42" spans="1:6" x14ac:dyDescent="0.35">
      <c r="A42" s="24" t="str">
        <f>"Dual Test Subtotal ("&amp;Currency&amp;")"</f>
        <v>Dual Test Subtotal ()</v>
      </c>
      <c r="B42" s="133"/>
      <c r="C42" s="133"/>
      <c r="D42" s="143"/>
      <c r="E42" s="144"/>
      <c r="F42" s="145" t="e">
        <f>SUM(F36:F41)</f>
        <v>#VALUE!</v>
      </c>
    </row>
    <row r="43" spans="1:6" x14ac:dyDescent="0.35">
      <c r="A43" s="13" t="s">
        <v>99</v>
      </c>
      <c r="B43" s="13" t="s">
        <v>111</v>
      </c>
      <c r="C43" s="13">
        <v>1</v>
      </c>
      <c r="D43" s="21" t="str">
        <f>Y1_HBsAg_Packs</f>
        <v/>
      </c>
      <c r="E43" s="68">
        <f t="shared" ref="E43:E48" si="2">HBsAg_LandedCostPerPack</f>
        <v>0</v>
      </c>
      <c r="F43" s="69" t="e">
        <f>D43*E43</f>
        <v>#VALUE!</v>
      </c>
    </row>
    <row r="44" spans="1:6" x14ac:dyDescent="0.35">
      <c r="A44" s="13" t="s">
        <v>99</v>
      </c>
      <c r="B44" s="13" t="s">
        <v>111</v>
      </c>
      <c r="C44" s="13">
        <v>2</v>
      </c>
      <c r="D44" s="21" t="str">
        <f>Y2_HBsAg_Packs</f>
        <v/>
      </c>
      <c r="E44" s="68">
        <f t="shared" si="2"/>
        <v>0</v>
      </c>
      <c r="F44" s="69" t="e">
        <f t="shared" ref="F44:F47" si="3">D44*E44</f>
        <v>#VALUE!</v>
      </c>
    </row>
    <row r="45" spans="1:6" x14ac:dyDescent="0.35">
      <c r="A45" s="13" t="s">
        <v>99</v>
      </c>
      <c r="B45" s="13" t="s">
        <v>111</v>
      </c>
      <c r="C45" s="13">
        <v>3</v>
      </c>
      <c r="D45" s="21" t="str">
        <f>Y3_HBsAg_Packs</f>
        <v/>
      </c>
      <c r="E45" s="68">
        <f t="shared" si="2"/>
        <v>0</v>
      </c>
      <c r="F45" s="69" t="e">
        <f t="shared" si="3"/>
        <v>#VALUE!</v>
      </c>
    </row>
    <row r="46" spans="1:6" x14ac:dyDescent="0.35">
      <c r="A46" s="13" t="s">
        <v>99</v>
      </c>
      <c r="B46" s="13" t="s">
        <v>55</v>
      </c>
      <c r="C46" s="13">
        <v>1</v>
      </c>
      <c r="D46" s="21">
        <f>IF(HBV_Other_Population="",0,Y1_Other_HBsAg_Packs)</f>
        <v>0</v>
      </c>
      <c r="E46" s="68">
        <f t="shared" si="2"/>
        <v>0</v>
      </c>
      <c r="F46" s="69">
        <f t="shared" si="3"/>
        <v>0</v>
      </c>
    </row>
    <row r="47" spans="1:6" x14ac:dyDescent="0.35">
      <c r="A47" s="13" t="s">
        <v>99</v>
      </c>
      <c r="B47" s="13" t="s">
        <v>55</v>
      </c>
      <c r="C47" s="13">
        <v>2</v>
      </c>
      <c r="D47" s="21">
        <f>IF(HBV_Other_Population="",0,Y2_Other_HBsAg_Packs)</f>
        <v>0</v>
      </c>
      <c r="E47" s="68">
        <f t="shared" si="2"/>
        <v>0</v>
      </c>
      <c r="F47" s="69">
        <f t="shared" si="3"/>
        <v>0</v>
      </c>
    </row>
    <row r="48" spans="1:6" x14ac:dyDescent="0.35">
      <c r="A48" s="13" t="s">
        <v>99</v>
      </c>
      <c r="B48" s="13" t="s">
        <v>55</v>
      </c>
      <c r="C48" s="13">
        <v>3</v>
      </c>
      <c r="D48" s="21">
        <f>IF(HBV_Other_Population="",0,Y3_Other_HBsAg_Packs)</f>
        <v>0</v>
      </c>
      <c r="E48" s="68">
        <f t="shared" si="2"/>
        <v>0</v>
      </c>
      <c r="F48" s="69">
        <f>D48*E48</f>
        <v>0</v>
      </c>
    </row>
    <row r="49" spans="1:6" x14ac:dyDescent="0.35">
      <c r="A49" s="24" t="str">
        <f>"HBsAg Test Subtotal ("&amp;Currency&amp;")"</f>
        <v>HBsAg Test Subtotal ()</v>
      </c>
      <c r="B49" s="133"/>
      <c r="C49" s="133"/>
      <c r="D49" s="143"/>
      <c r="E49" s="144"/>
      <c r="F49" s="145" t="e">
        <f>SUM(F43:F48)</f>
        <v>#VALUE!</v>
      </c>
    </row>
    <row r="50" spans="1:6" x14ac:dyDescent="0.35">
      <c r="A50" s="13" t="s">
        <v>80</v>
      </c>
      <c r="B50" s="13" t="s">
        <v>111</v>
      </c>
      <c r="C50" s="13">
        <v>1</v>
      </c>
      <c r="D50" s="21" t="str">
        <f>Y1_TripleTest_Packs</f>
        <v/>
      </c>
      <c r="E50" s="68">
        <f t="shared" ref="E50:E55" si="4">TripleTest_LandedCostPerPack</f>
        <v>0</v>
      </c>
      <c r="F50" s="69" t="e">
        <f t="shared" si="1"/>
        <v>#VALUE!</v>
      </c>
    </row>
    <row r="51" spans="1:6" x14ac:dyDescent="0.35">
      <c r="A51" s="13" t="s">
        <v>80</v>
      </c>
      <c r="B51" s="13" t="s">
        <v>111</v>
      </c>
      <c r="C51" s="13">
        <v>2</v>
      </c>
      <c r="D51" s="21" t="str">
        <f>Y2_TripleTest_Packs</f>
        <v/>
      </c>
      <c r="E51" s="68">
        <f t="shared" si="4"/>
        <v>0</v>
      </c>
      <c r="F51" s="69" t="e">
        <f>D51*E51</f>
        <v>#VALUE!</v>
      </c>
    </row>
    <row r="52" spans="1:6" x14ac:dyDescent="0.35">
      <c r="A52" s="13" t="s">
        <v>80</v>
      </c>
      <c r="B52" s="13" t="s">
        <v>111</v>
      </c>
      <c r="C52" s="13">
        <v>3</v>
      </c>
      <c r="D52" s="21" t="str">
        <f>Y3_TripleTest_Packs</f>
        <v/>
      </c>
      <c r="E52" s="68">
        <f t="shared" si="4"/>
        <v>0</v>
      </c>
      <c r="F52" s="69" t="e">
        <f t="shared" si="1"/>
        <v>#VALUE!</v>
      </c>
    </row>
    <row r="53" spans="1:6" x14ac:dyDescent="0.35">
      <c r="A53" s="13" t="s">
        <v>80</v>
      </c>
      <c r="B53" s="13" t="s">
        <v>55</v>
      </c>
      <c r="C53" s="13">
        <v>1</v>
      </c>
      <c r="D53" s="21">
        <f>IF(Other_Population="",0,Y1_Other_TripleTest_Packs)</f>
        <v>0</v>
      </c>
      <c r="E53" s="68">
        <f t="shared" si="4"/>
        <v>0</v>
      </c>
      <c r="F53" s="69">
        <f t="shared" si="1"/>
        <v>0</v>
      </c>
    </row>
    <row r="54" spans="1:6" x14ac:dyDescent="0.35">
      <c r="A54" s="13" t="s">
        <v>80</v>
      </c>
      <c r="B54" s="13" t="s">
        <v>55</v>
      </c>
      <c r="C54" s="13">
        <v>2</v>
      </c>
      <c r="D54" s="21">
        <f>IF(Other_Population="",0,Y2_Other_TripleTest_Packs)</f>
        <v>0</v>
      </c>
      <c r="E54" s="68">
        <f t="shared" si="4"/>
        <v>0</v>
      </c>
      <c r="F54" s="69">
        <f t="shared" si="1"/>
        <v>0</v>
      </c>
    </row>
    <row r="55" spans="1:6" x14ac:dyDescent="0.35">
      <c r="A55" s="13" t="s">
        <v>80</v>
      </c>
      <c r="B55" s="13" t="s">
        <v>55</v>
      </c>
      <c r="C55" s="13">
        <v>3</v>
      </c>
      <c r="D55" s="21">
        <f>IF(Other_Population="",0,Y3_Other_TripleTest_Packs)</f>
        <v>0</v>
      </c>
      <c r="E55" s="68">
        <f t="shared" si="4"/>
        <v>0</v>
      </c>
      <c r="F55" s="69">
        <f t="shared" si="1"/>
        <v>0</v>
      </c>
    </row>
    <row r="56" spans="1:6" x14ac:dyDescent="0.35">
      <c r="A56" s="24" t="str">
        <f>"Triple Test Subtotal ("&amp;Currency&amp;")"</f>
        <v>Triple Test Subtotal ()</v>
      </c>
      <c r="B56" s="133"/>
      <c r="C56" s="133"/>
      <c r="D56" s="143"/>
      <c r="E56" s="144"/>
      <c r="F56" s="145" t="e">
        <f>SUM(F50:F55)</f>
        <v>#VALUE!</v>
      </c>
    </row>
    <row r="57" spans="1:6" x14ac:dyDescent="0.35">
      <c r="A57" s="13" t="s">
        <v>42</v>
      </c>
      <c r="B57" s="13" t="s">
        <v>111</v>
      </c>
      <c r="C57" s="13">
        <v>1</v>
      </c>
      <c r="D57" s="21" t="str">
        <f>Y1_BPG_Packs</f>
        <v/>
      </c>
      <c r="E57" s="68">
        <f t="shared" ref="E57:E62" si="5">BPG_LandedCostPerPack</f>
        <v>0</v>
      </c>
      <c r="F57" s="69" t="e">
        <f t="shared" si="1"/>
        <v>#VALUE!</v>
      </c>
    </row>
    <row r="58" spans="1:6" x14ac:dyDescent="0.35">
      <c r="A58" s="13" t="s">
        <v>42</v>
      </c>
      <c r="B58" s="13" t="s">
        <v>111</v>
      </c>
      <c r="C58" s="13">
        <v>2</v>
      </c>
      <c r="D58" s="21" t="str">
        <f>Y2_BPG_Packs</f>
        <v/>
      </c>
      <c r="E58" s="68">
        <f t="shared" si="5"/>
        <v>0</v>
      </c>
      <c r="F58" s="69" t="e">
        <f t="shared" si="1"/>
        <v>#VALUE!</v>
      </c>
    </row>
    <row r="59" spans="1:6" x14ac:dyDescent="0.35">
      <c r="A59" s="13" t="s">
        <v>42</v>
      </c>
      <c r="B59" s="13" t="s">
        <v>111</v>
      </c>
      <c r="C59" s="13">
        <v>3</v>
      </c>
      <c r="D59" s="21" t="str">
        <f>Y3_BPG_Packs</f>
        <v/>
      </c>
      <c r="E59" s="68">
        <f t="shared" si="5"/>
        <v>0</v>
      </c>
      <c r="F59" s="69" t="e">
        <f t="shared" si="1"/>
        <v>#VALUE!</v>
      </c>
    </row>
    <row r="60" spans="1:6" x14ac:dyDescent="0.35">
      <c r="A60" s="13" t="s">
        <v>42</v>
      </c>
      <c r="B60" s="13" t="s">
        <v>55</v>
      </c>
      <c r="C60" s="13">
        <v>1</v>
      </c>
      <c r="D60" s="21">
        <f>IF(Other_Population="",0,Y1_Other_BPG_Packs)</f>
        <v>0</v>
      </c>
      <c r="E60" s="68">
        <f t="shared" si="5"/>
        <v>0</v>
      </c>
      <c r="F60" s="69">
        <f t="shared" si="1"/>
        <v>0</v>
      </c>
    </row>
    <row r="61" spans="1:6" x14ac:dyDescent="0.35">
      <c r="A61" s="13" t="s">
        <v>42</v>
      </c>
      <c r="B61" s="13" t="s">
        <v>55</v>
      </c>
      <c r="C61" s="13">
        <v>2</v>
      </c>
      <c r="D61" s="21">
        <f>IF(Other_Population="",0,Y2_Other_BPG_Packs)</f>
        <v>0</v>
      </c>
      <c r="E61" s="68">
        <f t="shared" si="5"/>
        <v>0</v>
      </c>
      <c r="F61" s="69">
        <f t="shared" si="1"/>
        <v>0</v>
      </c>
    </row>
    <row r="62" spans="1:6" x14ac:dyDescent="0.35">
      <c r="A62" s="13" t="s">
        <v>42</v>
      </c>
      <c r="B62" s="13" t="s">
        <v>55</v>
      </c>
      <c r="C62" s="13">
        <v>3</v>
      </c>
      <c r="D62" s="21">
        <f>IF(Other_Population="",0,Y3_Other_BPG_Packs)</f>
        <v>0</v>
      </c>
      <c r="E62" s="68">
        <f t="shared" si="5"/>
        <v>0</v>
      </c>
      <c r="F62" s="69">
        <f t="shared" si="1"/>
        <v>0</v>
      </c>
    </row>
    <row r="63" spans="1:6" x14ac:dyDescent="0.35">
      <c r="A63" s="24" t="str">
        <f>"BPG Subtotal ("&amp;Currency&amp;")"</f>
        <v>BPG Subtotal ()</v>
      </c>
      <c r="B63" s="133"/>
      <c r="C63" s="133"/>
      <c r="D63" s="143"/>
      <c r="E63" s="144"/>
      <c r="F63" s="145" t="e">
        <f>SUM(F57:F62)</f>
        <v>#VALUE!</v>
      </c>
    </row>
    <row r="64" spans="1:6" x14ac:dyDescent="0.35">
      <c r="A64" s="13" t="s">
        <v>95</v>
      </c>
      <c r="B64" s="13" t="s">
        <v>111</v>
      </c>
      <c r="C64" s="13">
        <v>1</v>
      </c>
      <c r="D64" s="21" t="str">
        <f>Y1_TDF_Packs</f>
        <v/>
      </c>
      <c r="E64" s="68">
        <f t="shared" ref="E64:E69" si="6">TDF_LandedCostPerPack</f>
        <v>0</v>
      </c>
      <c r="F64" s="69" t="e">
        <f t="shared" si="1"/>
        <v>#VALUE!</v>
      </c>
    </row>
    <row r="65" spans="1:6" x14ac:dyDescent="0.35">
      <c r="A65" s="13" t="s">
        <v>95</v>
      </c>
      <c r="B65" s="13" t="s">
        <v>111</v>
      </c>
      <c r="C65" s="13">
        <v>2</v>
      </c>
      <c r="D65" s="21" t="str">
        <f>Y2_TDF_Packs</f>
        <v/>
      </c>
      <c r="E65" s="68">
        <f t="shared" si="6"/>
        <v>0</v>
      </c>
      <c r="F65" s="69" t="e">
        <f t="shared" si="1"/>
        <v>#VALUE!</v>
      </c>
    </row>
    <row r="66" spans="1:6" x14ac:dyDescent="0.35">
      <c r="A66" s="13" t="s">
        <v>95</v>
      </c>
      <c r="B66" s="13" t="s">
        <v>111</v>
      </c>
      <c r="C66" s="13">
        <v>3</v>
      </c>
      <c r="D66" s="21" t="str">
        <f>Y3_TDF_Packs</f>
        <v/>
      </c>
      <c r="E66" s="68">
        <f t="shared" si="6"/>
        <v>0</v>
      </c>
      <c r="F66" s="69" t="e">
        <f t="shared" si="1"/>
        <v>#VALUE!</v>
      </c>
    </row>
    <row r="67" spans="1:6" x14ac:dyDescent="0.35">
      <c r="A67" s="13" t="s">
        <v>95</v>
      </c>
      <c r="B67" s="13" t="s">
        <v>55</v>
      </c>
      <c r="C67" s="13">
        <v>1</v>
      </c>
      <c r="D67" s="21">
        <f>IF(HBV_Other_Population="",0,Y1_Other_TDF_Packs)</f>
        <v>0</v>
      </c>
      <c r="E67" s="68">
        <f t="shared" si="6"/>
        <v>0</v>
      </c>
      <c r="F67" s="69">
        <f t="shared" si="1"/>
        <v>0</v>
      </c>
    </row>
    <row r="68" spans="1:6" x14ac:dyDescent="0.35">
      <c r="A68" s="13" t="s">
        <v>95</v>
      </c>
      <c r="B68" s="13" t="s">
        <v>55</v>
      </c>
      <c r="C68" s="13">
        <v>2</v>
      </c>
      <c r="D68" s="21">
        <f>IF(HBV_Other_Population="",0,Y2_Other_TDF_Packs)</f>
        <v>0</v>
      </c>
      <c r="E68" s="68">
        <f t="shared" si="6"/>
        <v>0</v>
      </c>
      <c r="F68" s="69">
        <f t="shared" si="1"/>
        <v>0</v>
      </c>
    </row>
    <row r="69" spans="1:6" x14ac:dyDescent="0.35">
      <c r="A69" s="13" t="s">
        <v>95</v>
      </c>
      <c r="B69" s="13" t="s">
        <v>55</v>
      </c>
      <c r="C69" s="13">
        <v>3</v>
      </c>
      <c r="D69" s="21">
        <f>IF(HBV_Other_Population="",0,Y3_Other_TDF_Packs)</f>
        <v>0</v>
      </c>
      <c r="E69" s="68">
        <f t="shared" si="6"/>
        <v>0</v>
      </c>
      <c r="F69" s="69">
        <f t="shared" si="1"/>
        <v>0</v>
      </c>
    </row>
    <row r="70" spans="1:6" x14ac:dyDescent="0.35">
      <c r="A70" s="24" t="str">
        <f>"TDF Subtotal ("&amp;Currency&amp;")"</f>
        <v>TDF Subtotal ()</v>
      </c>
      <c r="B70" s="133"/>
      <c r="C70" s="133"/>
      <c r="D70" s="143"/>
      <c r="E70" s="144"/>
      <c r="F70" s="145" t="e">
        <f>SUM(F64:F69)</f>
        <v>#VALUE!</v>
      </c>
    </row>
    <row r="72" spans="1:6" x14ac:dyDescent="0.35">
      <c r="A72" s="99" t="str">
        <f>"GRAND TOTAL (3 Years) ("&amp;Currency&amp;")"</f>
        <v>GRAND TOTAL (3 Years) ()</v>
      </c>
      <c r="B72" s="99"/>
      <c r="C72" s="99"/>
      <c r="D72" s="99"/>
      <c r="E72" s="99"/>
      <c r="F72" s="127" t="e">
        <f>SUM(F42,F49,F56,F63,F70)</f>
        <v>#VALUE!</v>
      </c>
    </row>
  </sheetData>
  <sheetProtection sheet="1" formatColumns="0" formatRows="0" selectLockedCells="1" selectUnlockedCells="1"/>
  <mergeCells count="6">
    <mergeCell ref="A27:XFD27"/>
    <mergeCell ref="A1:XFD1"/>
    <mergeCell ref="A3:XFD3"/>
    <mergeCell ref="A21:XFD21"/>
    <mergeCell ref="A15:XFD15"/>
    <mergeCell ref="A9:XFD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FC533-54BE-4AB4-9D77-E6967E2AB053}">
  <sheetPr>
    <tabColor rgb="FFFFC000"/>
  </sheetPr>
  <dimension ref="A1:M187"/>
  <sheetViews>
    <sheetView showGridLines="0" zoomScaleNormal="100" workbookViewId="0">
      <selection activeCell="D193" sqref="D193"/>
    </sheetView>
  </sheetViews>
  <sheetFormatPr defaultRowHeight="14.5" x14ac:dyDescent="0.35"/>
  <cols>
    <col min="1" max="1" width="40.26953125" style="25" customWidth="1"/>
    <col min="2" max="2" width="13.81640625" customWidth="1"/>
    <col min="3" max="3" width="13.453125" customWidth="1"/>
    <col min="4" max="5" width="12.54296875" customWidth="1"/>
    <col min="11" max="11" width="20.453125" customWidth="1"/>
  </cols>
  <sheetData>
    <row r="1" spans="1:13" s="326" customFormat="1" ht="18.649999999999999" customHeight="1" x14ac:dyDescent="0.35">
      <c r="A1" s="326" t="s">
        <v>250</v>
      </c>
    </row>
    <row r="2" spans="1:13" s="326" customFormat="1" x14ac:dyDescent="0.35"/>
    <row r="3" spans="1:13" s="197" customFormat="1" ht="29.15" customHeight="1" x14ac:dyDescent="0.35">
      <c r="A3" s="327" t="s">
        <v>251</v>
      </c>
      <c r="B3" s="327"/>
      <c r="C3" s="327"/>
      <c r="D3" s="327"/>
      <c r="E3" s="327"/>
      <c r="F3" s="327"/>
      <c r="G3" s="327"/>
      <c r="H3" s="327"/>
      <c r="I3" s="327"/>
      <c r="J3" s="327"/>
      <c r="K3" s="196"/>
      <c r="L3" s="196"/>
      <c r="M3" s="196"/>
    </row>
    <row r="4" spans="1:13" s="8" customFormat="1" ht="7" customHeight="1" x14ac:dyDescent="0.35">
      <c r="A4" s="7"/>
      <c r="B4" s="7"/>
      <c r="C4" s="7"/>
      <c r="D4" s="7"/>
      <c r="E4" s="7"/>
      <c r="F4" s="7"/>
      <c r="G4" s="7"/>
      <c r="H4" s="7"/>
      <c r="I4" s="7"/>
      <c r="J4" s="7"/>
      <c r="K4" s="7"/>
      <c r="L4" s="7"/>
      <c r="M4" s="7"/>
    </row>
    <row r="5" spans="1:13" s="5" customFormat="1" ht="16" x14ac:dyDescent="0.4">
      <c r="A5" s="5" t="s">
        <v>252</v>
      </c>
      <c r="B5" s="15"/>
    </row>
    <row r="6" spans="1:13" x14ac:dyDescent="0.35">
      <c r="A6" s="25" t="s">
        <v>253</v>
      </c>
      <c r="B6" s="16"/>
      <c r="C6" s="6" t="s">
        <v>256</v>
      </c>
    </row>
    <row r="7" spans="1:13" ht="14.5" customHeight="1" x14ac:dyDescent="0.35">
      <c r="A7" s="166" t="s">
        <v>254</v>
      </c>
      <c r="B7" s="17"/>
      <c r="C7" s="6" t="s">
        <v>257</v>
      </c>
    </row>
    <row r="8" spans="1:13" x14ac:dyDescent="0.35">
      <c r="A8" s="25" t="s">
        <v>255</v>
      </c>
      <c r="B8" s="16"/>
      <c r="C8" s="6" t="s">
        <v>258</v>
      </c>
    </row>
    <row r="9" spans="1:13" x14ac:dyDescent="0.35">
      <c r="B9" s="9"/>
      <c r="C9" s="6"/>
    </row>
    <row r="10" spans="1:13" s="5" customFormat="1" ht="16" x14ac:dyDescent="0.4">
      <c r="A10" s="5" t="s">
        <v>259</v>
      </c>
    </row>
    <row r="11" spans="1:13" s="44" customFormat="1" ht="16" x14ac:dyDescent="0.4"/>
    <row r="12" spans="1:13" s="197" customFormat="1" ht="29.15" customHeight="1" x14ac:dyDescent="0.35">
      <c r="A12" s="328" t="s">
        <v>260</v>
      </c>
      <c r="B12" s="328"/>
      <c r="C12" s="328"/>
      <c r="D12" s="328"/>
      <c r="E12" s="328"/>
      <c r="F12" s="328"/>
      <c r="G12" s="328"/>
      <c r="H12" s="328"/>
      <c r="I12" s="328"/>
      <c r="J12" s="328"/>
      <c r="K12" s="196"/>
      <c r="L12" s="196"/>
      <c r="M12" s="196"/>
    </row>
    <row r="13" spans="1:13" s="44" customFormat="1" ht="16" x14ac:dyDescent="0.4"/>
    <row r="14" spans="1:13" ht="14.5" customHeight="1" x14ac:dyDescent="0.35">
      <c r="A14" s="25" t="s">
        <v>261</v>
      </c>
      <c r="B14" s="38" t="str">
        <f>IF(OR(Country_Name="",Country_Name="Other"),"",IFERROR(_xlfn.XLOOKUP(Country_Name,Country_Database!$A:$A,Country_Database!$B:$B,"",0),""))</f>
        <v/>
      </c>
      <c r="C14" s="6" t="s">
        <v>269</v>
      </c>
    </row>
    <row r="15" spans="1:13" ht="14.5" customHeight="1" x14ac:dyDescent="0.35">
      <c r="A15" s="25" t="s">
        <v>262</v>
      </c>
      <c r="B15" s="72"/>
      <c r="C15" s="6" t="s">
        <v>270</v>
      </c>
    </row>
    <row r="16" spans="1:13" ht="14.5" customHeight="1" x14ac:dyDescent="0.35">
      <c r="B16" s="202"/>
      <c r="C16" s="6"/>
    </row>
    <row r="17" spans="1:13" ht="14.5" customHeight="1" x14ac:dyDescent="0.35">
      <c r="A17" s="25" t="s">
        <v>263</v>
      </c>
      <c r="B17" s="16" t="str">
        <f>IF(OR(Country_Name="",Country_Name="Other"),"",IFERROR(_xlfn.XLOOKUP(Country_Name,Country_Database!$A:$A,Country_Database!$C:$C,"",0)*100,""))</f>
        <v/>
      </c>
      <c r="C17" s="6" t="s">
        <v>271</v>
      </c>
    </row>
    <row r="18" spans="1:13" ht="28.5" customHeight="1" x14ac:dyDescent="0.35">
      <c r="A18" s="25" t="s">
        <v>264</v>
      </c>
      <c r="B18" s="203" t="str">
        <f>IF(OR(Country_Name="",Country_Name="Other"),"",IFERROR(_xlfn.XLOOKUP(Country_Name,Country_Database!$A:$A,Country_Database!$D:$D,"",0)*100,""))</f>
        <v/>
      </c>
      <c r="C18" s="6" t="s">
        <v>272</v>
      </c>
    </row>
    <row r="19" spans="1:13" ht="27.65" customHeight="1" x14ac:dyDescent="0.35">
      <c r="A19" s="25" t="s">
        <v>265</v>
      </c>
      <c r="B19" s="16" t="str">
        <f>IF(OR(Country_Name="",Country_Name="Other"),"",IFERROR(_xlfn.XLOOKUP(Country_Name,Country_Database!$A:$A,Country_Database!$E:$E,"",0)*100,""))</f>
        <v/>
      </c>
      <c r="C19" s="6" t="s">
        <v>273</v>
      </c>
    </row>
    <row r="20" spans="1:13" ht="14.5" customHeight="1" x14ac:dyDescent="0.35">
      <c r="B20" s="201"/>
      <c r="C20" s="6"/>
    </row>
    <row r="21" spans="1:13" ht="29.5" customHeight="1" x14ac:dyDescent="0.35">
      <c r="A21" s="195" t="s">
        <v>266</v>
      </c>
      <c r="B21" s="16" t="str">
        <f>IF(OR(Country_Name="",Country_Name="Other"),"",IFERROR(_xlfn.XLOOKUP(Country_Name,Country_Database!$A:$A,Country_Database!$F:$F,"",0)*100,""))</f>
        <v/>
      </c>
      <c r="C21" s="6" t="s">
        <v>271</v>
      </c>
    </row>
    <row r="22" spans="1:13" ht="14.5" customHeight="1" x14ac:dyDescent="0.35">
      <c r="A22" s="195" t="s">
        <v>267</v>
      </c>
      <c r="B22" s="16" t="str">
        <f>IF(OR(Country_Name="",Country_Name="Other"),"",IFERROR(_xlfn.XLOOKUP(Country_Name,Country_Database!$A:$A,Country_Database!$G:$G,"",0)*100,""))</f>
        <v/>
      </c>
      <c r="C22" s="6" t="s">
        <v>274</v>
      </c>
    </row>
    <row r="23" spans="1:13" ht="29.15" customHeight="1" x14ac:dyDescent="0.35">
      <c r="A23" s="195" t="s">
        <v>268</v>
      </c>
      <c r="B23" s="16" t="str">
        <f>IF(OR(Country_Name="",Country_Name="Other"),"",IFERROR(_xlfn.XLOOKUP(Country_Name,Country_Database!$A:$A,Country_Database!$H:$H,"",0)*100,""))</f>
        <v/>
      </c>
      <c r="C23" s="6" t="s">
        <v>275</v>
      </c>
    </row>
    <row r="24" spans="1:13" x14ac:dyDescent="0.35">
      <c r="A24" s="195"/>
      <c r="B24" s="201"/>
      <c r="C24" s="6"/>
    </row>
    <row r="25" spans="1:13" s="197" customFormat="1" ht="59.5" customHeight="1" x14ac:dyDescent="0.35">
      <c r="A25" s="328" t="s">
        <v>276</v>
      </c>
      <c r="B25" s="328"/>
      <c r="C25" s="328"/>
      <c r="D25" s="328"/>
      <c r="E25" s="328"/>
      <c r="F25" s="328"/>
      <c r="G25" s="328"/>
      <c r="H25" s="328"/>
      <c r="I25" s="328"/>
      <c r="J25" s="328"/>
      <c r="K25" s="196"/>
      <c r="L25" s="196"/>
      <c r="M25" s="196"/>
    </row>
    <row r="26" spans="1:13" ht="14.5" customHeight="1" x14ac:dyDescent="0.35">
      <c r="A26" s="195"/>
      <c r="B26" s="61"/>
      <c r="C26" s="61"/>
      <c r="D26" s="61"/>
      <c r="E26" s="42"/>
      <c r="F26" s="42"/>
      <c r="G26" s="42"/>
      <c r="H26" s="42"/>
      <c r="I26" s="42"/>
      <c r="J26" s="42"/>
    </row>
    <row r="27" spans="1:13" ht="30" customHeight="1" x14ac:dyDescent="0.35">
      <c r="A27" s="171" t="s">
        <v>277</v>
      </c>
      <c r="B27" s="45"/>
      <c r="C27" s="321" t="s">
        <v>281</v>
      </c>
      <c r="D27" s="322"/>
      <c r="E27" s="322"/>
      <c r="F27" s="322"/>
      <c r="G27" s="322"/>
      <c r="H27" s="322"/>
      <c r="I27" s="322"/>
      <c r="J27" s="322"/>
    </row>
    <row r="28" spans="1:13" ht="30" customHeight="1" x14ac:dyDescent="0.35">
      <c r="A28" s="171" t="s">
        <v>278</v>
      </c>
      <c r="B28" s="45"/>
      <c r="C28" s="321" t="s">
        <v>282</v>
      </c>
      <c r="D28" s="322"/>
      <c r="E28" s="322"/>
      <c r="F28" s="322"/>
      <c r="G28" s="322"/>
      <c r="H28" s="322"/>
      <c r="I28" s="322"/>
      <c r="J28" s="322"/>
    </row>
    <row r="29" spans="1:13" ht="14.5" customHeight="1" x14ac:dyDescent="0.35">
      <c r="A29" s="171"/>
      <c r="B29" s="204"/>
      <c r="C29" s="42"/>
      <c r="D29" s="42"/>
      <c r="E29" s="42"/>
      <c r="F29" s="42"/>
      <c r="G29" s="42"/>
      <c r="H29" s="42"/>
      <c r="I29" s="42"/>
      <c r="J29" s="42"/>
    </row>
    <row r="30" spans="1:13" ht="14.5" customHeight="1" x14ac:dyDescent="0.35">
      <c r="A30" s="25" t="s">
        <v>279</v>
      </c>
      <c r="B30" s="39"/>
      <c r="C30" s="6" t="s">
        <v>283</v>
      </c>
    </row>
    <row r="31" spans="1:13" ht="14.5" customHeight="1" x14ac:dyDescent="0.35">
      <c r="A31" s="25" t="s">
        <v>264</v>
      </c>
      <c r="B31" s="39"/>
      <c r="C31" s="6" t="s">
        <v>284</v>
      </c>
    </row>
    <row r="32" spans="1:13" ht="14.5" customHeight="1" x14ac:dyDescent="0.35">
      <c r="A32" s="25" t="s">
        <v>265</v>
      </c>
      <c r="B32" s="39"/>
      <c r="C32" s="6" t="s">
        <v>285</v>
      </c>
    </row>
    <row r="33" spans="1:13" ht="14.5" customHeight="1" x14ac:dyDescent="0.35">
      <c r="B33" s="201"/>
      <c r="C33" s="6"/>
    </row>
    <row r="34" spans="1:13" ht="14.5" customHeight="1" x14ac:dyDescent="0.35">
      <c r="A34" s="195" t="s">
        <v>280</v>
      </c>
      <c r="B34" s="19"/>
      <c r="C34" s="6" t="s">
        <v>271</v>
      </c>
      <c r="D34" s="61"/>
      <c r="E34" s="42"/>
      <c r="F34" s="42"/>
      <c r="G34" s="42"/>
      <c r="H34" s="42"/>
      <c r="I34" s="42"/>
      <c r="J34" s="42"/>
    </row>
    <row r="35" spans="1:13" ht="14.5" customHeight="1" x14ac:dyDescent="0.35">
      <c r="A35" s="195" t="s">
        <v>267</v>
      </c>
      <c r="B35" s="19"/>
      <c r="C35" s="6" t="s">
        <v>274</v>
      </c>
      <c r="D35" s="61"/>
      <c r="E35" s="42"/>
      <c r="F35" s="42"/>
      <c r="G35" s="42"/>
      <c r="H35" s="42"/>
      <c r="I35" s="42"/>
      <c r="J35" s="42"/>
    </row>
    <row r="36" spans="1:13" ht="14.5" customHeight="1" x14ac:dyDescent="0.35">
      <c r="A36" s="195" t="s">
        <v>268</v>
      </c>
      <c r="B36" s="19"/>
      <c r="C36" s="6" t="s">
        <v>275</v>
      </c>
      <c r="D36" s="61"/>
      <c r="E36" s="42"/>
      <c r="F36" s="42"/>
      <c r="G36" s="42"/>
      <c r="H36" s="42"/>
      <c r="I36" s="42"/>
      <c r="J36" s="42"/>
    </row>
    <row r="37" spans="1:13" x14ac:dyDescent="0.35">
      <c r="B37" s="9"/>
      <c r="C37" s="6"/>
    </row>
    <row r="38" spans="1:13" s="5" customFormat="1" ht="16" x14ac:dyDescent="0.4">
      <c r="A38" s="5" t="s">
        <v>286</v>
      </c>
    </row>
    <row r="39" spans="1:13" s="44" customFormat="1" ht="16" x14ac:dyDescent="0.4"/>
    <row r="40" spans="1:13" s="197" customFormat="1" ht="29.15" customHeight="1" x14ac:dyDescent="0.35">
      <c r="A40" s="328" t="s">
        <v>260</v>
      </c>
      <c r="B40" s="328"/>
      <c r="C40" s="328"/>
      <c r="D40" s="328"/>
      <c r="E40" s="328"/>
      <c r="F40" s="328"/>
      <c r="G40" s="328"/>
      <c r="H40" s="328"/>
      <c r="I40" s="328"/>
      <c r="J40" s="328"/>
      <c r="K40" s="196"/>
      <c r="L40" s="196"/>
      <c r="M40" s="196"/>
    </row>
    <row r="41" spans="1:13" s="44" customFormat="1" ht="16" x14ac:dyDescent="0.4"/>
    <row r="42" spans="1:13" s="44" customFormat="1" ht="16" x14ac:dyDescent="0.4">
      <c r="A42" s="169" t="s">
        <v>287</v>
      </c>
    </row>
    <row r="43" spans="1:13" ht="38.5" customHeight="1" x14ac:dyDescent="0.35">
      <c r="A43" s="25" t="s">
        <v>288</v>
      </c>
      <c r="B43" s="16"/>
      <c r="C43" s="321" t="s">
        <v>299</v>
      </c>
      <c r="D43" s="322"/>
      <c r="E43" s="322"/>
      <c r="F43" s="322"/>
      <c r="G43" s="322"/>
      <c r="H43" s="322"/>
      <c r="I43" s="322"/>
      <c r="J43" s="322"/>
      <c r="K43" s="42"/>
    </row>
    <row r="44" spans="1:13" ht="38.15" customHeight="1" x14ac:dyDescent="0.35">
      <c r="A44" s="25" t="s">
        <v>289</v>
      </c>
      <c r="B44" s="39"/>
      <c r="C44" s="321" t="s">
        <v>300</v>
      </c>
      <c r="D44" s="322"/>
      <c r="E44" s="322"/>
      <c r="F44" s="322"/>
      <c r="G44" s="322"/>
      <c r="H44" s="322"/>
      <c r="I44" s="322"/>
      <c r="J44" s="322"/>
      <c r="K44" s="42"/>
    </row>
    <row r="45" spans="1:13" ht="38.15" customHeight="1" x14ac:dyDescent="0.35">
      <c r="A45" s="25" t="s">
        <v>290</v>
      </c>
      <c r="B45" s="39"/>
      <c r="C45" s="321" t="s">
        <v>301</v>
      </c>
      <c r="D45" s="322"/>
      <c r="E45" s="322"/>
      <c r="F45" s="322"/>
      <c r="G45" s="322"/>
      <c r="H45" s="322"/>
      <c r="I45" s="322"/>
      <c r="J45" s="322"/>
    </row>
    <row r="47" spans="1:13" x14ac:dyDescent="0.35">
      <c r="B47" s="58" t="s">
        <v>296</v>
      </c>
      <c r="C47" s="58" t="s">
        <v>297</v>
      </c>
      <c r="D47" s="58" t="s">
        <v>298</v>
      </c>
    </row>
    <row r="48" spans="1:13" ht="28" customHeight="1" x14ac:dyDescent="0.35">
      <c r="A48" s="195" t="s">
        <v>291</v>
      </c>
      <c r="B48" s="18"/>
      <c r="C48" s="18"/>
      <c r="D48" s="18"/>
      <c r="E48" s="321" t="s">
        <v>302</v>
      </c>
      <c r="F48" s="322"/>
      <c r="G48" s="322"/>
      <c r="H48" s="322"/>
      <c r="I48" s="322"/>
      <c r="J48" s="322"/>
    </row>
    <row r="49" spans="1:13" ht="27.65" customHeight="1" x14ac:dyDescent="0.35">
      <c r="A49" s="195" t="s">
        <v>292</v>
      </c>
      <c r="B49" s="18"/>
      <c r="C49" s="18"/>
      <c r="D49" s="18"/>
      <c r="E49" s="321" t="s">
        <v>303</v>
      </c>
      <c r="F49" s="322"/>
      <c r="G49" s="322"/>
      <c r="H49" s="322"/>
      <c r="I49" s="322"/>
      <c r="J49" s="322"/>
    </row>
    <row r="50" spans="1:13" x14ac:dyDescent="0.35">
      <c r="A50" s="195"/>
      <c r="B50" s="61"/>
      <c r="C50" s="61"/>
      <c r="D50" s="61"/>
      <c r="E50" s="42"/>
      <c r="F50" s="42"/>
      <c r="G50" s="42"/>
      <c r="H50" s="42"/>
      <c r="I50" s="42"/>
      <c r="J50" s="42"/>
    </row>
    <row r="51" spans="1:13" x14ac:dyDescent="0.35">
      <c r="A51" s="195"/>
      <c r="B51" s="61"/>
      <c r="C51" s="61"/>
      <c r="D51" s="61"/>
      <c r="E51" s="42"/>
      <c r="F51" s="42"/>
      <c r="G51" s="42"/>
      <c r="H51" s="42"/>
      <c r="I51" s="42"/>
      <c r="J51" s="42"/>
    </row>
    <row r="52" spans="1:13" x14ac:dyDescent="0.35">
      <c r="A52" s="169" t="s">
        <v>293</v>
      </c>
      <c r="B52" s="61"/>
      <c r="C52" s="61"/>
      <c r="D52" s="61"/>
      <c r="E52" s="42"/>
      <c r="F52" s="42"/>
      <c r="G52" s="42"/>
      <c r="H52" s="42"/>
      <c r="I52" s="42"/>
      <c r="J52" s="42"/>
    </row>
    <row r="53" spans="1:13" ht="39" customHeight="1" x14ac:dyDescent="0.35">
      <c r="A53" s="25" t="s">
        <v>288</v>
      </c>
      <c r="B53" s="16"/>
      <c r="C53" s="321" t="s">
        <v>299</v>
      </c>
      <c r="D53" s="322"/>
      <c r="E53" s="322"/>
      <c r="F53" s="322"/>
      <c r="G53" s="322"/>
      <c r="H53" s="322"/>
      <c r="I53" s="322"/>
      <c r="J53" s="322"/>
    </row>
    <row r="54" spans="1:13" ht="36.65" customHeight="1" x14ac:dyDescent="0.35">
      <c r="A54" s="25" t="s">
        <v>289</v>
      </c>
      <c r="B54" s="39"/>
      <c r="C54" s="321" t="s">
        <v>304</v>
      </c>
      <c r="D54" s="322"/>
      <c r="E54" s="322"/>
      <c r="F54" s="322"/>
      <c r="G54" s="322"/>
      <c r="H54" s="322"/>
      <c r="I54" s="322"/>
      <c r="J54" s="322"/>
    </row>
    <row r="55" spans="1:13" ht="38.15" customHeight="1" x14ac:dyDescent="0.35">
      <c r="A55" s="25" t="s">
        <v>290</v>
      </c>
      <c r="B55" s="39"/>
      <c r="C55" s="321" t="s">
        <v>305</v>
      </c>
      <c r="D55" s="322"/>
      <c r="E55" s="322"/>
      <c r="F55" s="322"/>
      <c r="G55" s="322"/>
      <c r="H55" s="322"/>
      <c r="I55" s="322"/>
      <c r="J55" s="322"/>
    </row>
    <row r="56" spans="1:13" x14ac:dyDescent="0.35">
      <c r="A56" s="195"/>
      <c r="B56" s="61"/>
      <c r="C56" s="61"/>
      <c r="D56" s="61"/>
      <c r="E56" s="42"/>
      <c r="F56" s="42"/>
      <c r="G56" s="42"/>
      <c r="H56" s="42"/>
      <c r="I56" s="42"/>
      <c r="J56" s="42"/>
    </row>
    <row r="57" spans="1:13" x14ac:dyDescent="0.35">
      <c r="A57" s="195"/>
      <c r="B57" s="58" t="s">
        <v>296</v>
      </c>
      <c r="C57" s="58" t="s">
        <v>297</v>
      </c>
      <c r="D57" s="58" t="s">
        <v>298</v>
      </c>
      <c r="E57" s="42"/>
      <c r="F57" s="42"/>
      <c r="G57" s="42"/>
      <c r="H57" s="42"/>
      <c r="I57" s="42"/>
      <c r="J57" s="42"/>
    </row>
    <row r="58" spans="1:13" ht="29.15" customHeight="1" x14ac:dyDescent="0.35">
      <c r="A58" s="195" t="s">
        <v>294</v>
      </c>
      <c r="B58" s="18"/>
      <c r="C58" s="18"/>
      <c r="D58" s="18"/>
      <c r="E58" s="321" t="s">
        <v>306</v>
      </c>
      <c r="F58" s="322"/>
      <c r="G58" s="322"/>
      <c r="H58" s="322"/>
      <c r="I58" s="322"/>
      <c r="J58" s="322"/>
    </row>
    <row r="59" spans="1:13" ht="29.15" customHeight="1" x14ac:dyDescent="0.35">
      <c r="A59" s="195" t="s">
        <v>295</v>
      </c>
      <c r="B59" s="18"/>
      <c r="C59" s="18"/>
      <c r="D59" s="18"/>
      <c r="E59" s="321" t="s">
        <v>307</v>
      </c>
      <c r="F59" s="322"/>
      <c r="G59" s="322"/>
      <c r="H59" s="322"/>
      <c r="I59" s="322"/>
      <c r="J59" s="322"/>
    </row>
    <row r="60" spans="1:13" ht="14.5" customHeight="1" x14ac:dyDescent="0.35">
      <c r="A60" s="195"/>
      <c r="B60" s="61"/>
      <c r="C60" s="61"/>
      <c r="D60" s="61"/>
      <c r="E60" s="42"/>
      <c r="F60" s="42"/>
      <c r="G60" s="42"/>
      <c r="H60" s="42"/>
      <c r="I60" s="42"/>
      <c r="J60" s="42"/>
    </row>
    <row r="61" spans="1:13" s="197" customFormat="1" ht="58" customHeight="1" x14ac:dyDescent="0.35">
      <c r="A61" s="328" t="s">
        <v>276</v>
      </c>
      <c r="B61" s="328"/>
      <c r="C61" s="328"/>
      <c r="D61" s="328"/>
      <c r="E61" s="328"/>
      <c r="F61" s="328"/>
      <c r="G61" s="328"/>
      <c r="H61" s="328"/>
      <c r="I61" s="328"/>
      <c r="J61" s="328"/>
      <c r="K61" s="196"/>
      <c r="L61" s="196"/>
      <c r="M61" s="196"/>
    </row>
    <row r="63" spans="1:13" x14ac:dyDescent="0.35">
      <c r="A63" s="169" t="s">
        <v>287</v>
      </c>
    </row>
    <row r="64" spans="1:13" x14ac:dyDescent="0.35">
      <c r="A64" s="25" t="s">
        <v>308</v>
      </c>
      <c r="B64" s="39"/>
      <c r="C64" s="6" t="s">
        <v>311</v>
      </c>
    </row>
    <row r="65" spans="1:10" ht="37" customHeight="1" x14ac:dyDescent="0.35">
      <c r="A65" s="171" t="s">
        <v>289</v>
      </c>
      <c r="B65" s="39"/>
      <c r="C65" s="321" t="s">
        <v>312</v>
      </c>
      <c r="D65" s="322"/>
      <c r="E65" s="322"/>
      <c r="F65" s="322"/>
      <c r="G65" s="322"/>
      <c r="H65" s="322"/>
      <c r="I65" s="322"/>
      <c r="J65" s="322"/>
    </row>
    <row r="66" spans="1:10" ht="50.5" customHeight="1" x14ac:dyDescent="0.35">
      <c r="A66" s="171" t="s">
        <v>290</v>
      </c>
      <c r="B66" s="39"/>
      <c r="C66" s="321" t="s">
        <v>313</v>
      </c>
      <c r="D66" s="322"/>
      <c r="E66" s="322"/>
      <c r="F66" s="322"/>
      <c r="G66" s="322"/>
      <c r="H66" s="322"/>
      <c r="I66" s="322"/>
      <c r="J66" s="322"/>
    </row>
    <row r="67" spans="1:10" x14ac:dyDescent="0.35">
      <c r="B67" s="9"/>
      <c r="C67" s="6"/>
    </row>
    <row r="68" spans="1:10" x14ac:dyDescent="0.35">
      <c r="B68" s="58" t="s">
        <v>296</v>
      </c>
      <c r="C68" s="58" t="s">
        <v>297</v>
      </c>
      <c r="D68" s="58" t="s">
        <v>298</v>
      </c>
    </row>
    <row r="69" spans="1:10" ht="27.65" customHeight="1" x14ac:dyDescent="0.35">
      <c r="A69" s="171" t="s">
        <v>309</v>
      </c>
      <c r="B69" s="19"/>
      <c r="C69" s="19"/>
      <c r="D69" s="19"/>
      <c r="E69" s="321" t="s">
        <v>314</v>
      </c>
      <c r="F69" s="322"/>
      <c r="G69" s="322"/>
      <c r="H69" s="322"/>
      <c r="I69" s="322"/>
      <c r="J69" s="322"/>
    </row>
    <row r="70" spans="1:10" ht="24.65" customHeight="1" x14ac:dyDescent="0.35">
      <c r="A70" s="171" t="s">
        <v>310</v>
      </c>
      <c r="B70" s="19"/>
      <c r="C70" s="19"/>
      <c r="D70" s="19"/>
      <c r="E70" s="321" t="s">
        <v>315</v>
      </c>
      <c r="F70" s="322"/>
      <c r="G70" s="322"/>
      <c r="H70" s="322"/>
      <c r="I70" s="322"/>
      <c r="J70" s="322"/>
    </row>
    <row r="72" spans="1:10" x14ac:dyDescent="0.35">
      <c r="A72" s="169" t="s">
        <v>293</v>
      </c>
    </row>
    <row r="73" spans="1:10" ht="14.5" customHeight="1" x14ac:dyDescent="0.35">
      <c r="A73" s="25" t="s">
        <v>288</v>
      </c>
      <c r="B73" s="39"/>
      <c r="C73" s="321" t="s">
        <v>311</v>
      </c>
      <c r="D73" s="322"/>
      <c r="E73" s="322"/>
      <c r="F73" s="322"/>
      <c r="G73" s="322"/>
      <c r="H73" s="322"/>
      <c r="I73" s="322"/>
      <c r="J73" s="322"/>
    </row>
    <row r="74" spans="1:10" ht="36.65" customHeight="1" x14ac:dyDescent="0.35">
      <c r="A74" s="25" t="s">
        <v>289</v>
      </c>
      <c r="B74" s="39"/>
      <c r="C74" s="321" t="s">
        <v>316</v>
      </c>
      <c r="D74" s="322"/>
      <c r="E74" s="322"/>
      <c r="F74" s="322"/>
      <c r="G74" s="322"/>
      <c r="H74" s="322"/>
      <c r="I74" s="322"/>
      <c r="J74" s="322"/>
    </row>
    <row r="75" spans="1:10" ht="36.65" customHeight="1" x14ac:dyDescent="0.35">
      <c r="A75" s="25" t="s">
        <v>290</v>
      </c>
      <c r="B75" s="39"/>
      <c r="C75" s="321" t="s">
        <v>317</v>
      </c>
      <c r="D75" s="322"/>
      <c r="E75" s="322"/>
      <c r="F75" s="322"/>
      <c r="G75" s="322"/>
      <c r="H75" s="322"/>
      <c r="I75" s="322"/>
      <c r="J75" s="322"/>
    </row>
    <row r="76" spans="1:10" x14ac:dyDescent="0.35">
      <c r="A76" s="195"/>
      <c r="B76" s="61"/>
      <c r="C76" s="61"/>
      <c r="D76" s="61"/>
      <c r="E76" s="42"/>
      <c r="F76" s="42"/>
      <c r="G76" s="42"/>
      <c r="H76" s="42"/>
      <c r="I76" s="42"/>
      <c r="J76" s="42"/>
    </row>
    <row r="77" spans="1:10" x14ac:dyDescent="0.35">
      <c r="A77" s="195"/>
      <c r="B77" s="58" t="s">
        <v>296</v>
      </c>
      <c r="C77" s="58" t="s">
        <v>297</v>
      </c>
      <c r="D77" s="58" t="s">
        <v>298</v>
      </c>
      <c r="E77" s="42"/>
      <c r="F77" s="42"/>
      <c r="G77" s="42"/>
      <c r="H77" s="42"/>
      <c r="I77" s="42"/>
      <c r="J77" s="42"/>
    </row>
    <row r="78" spans="1:10" ht="29.15" customHeight="1" x14ac:dyDescent="0.35">
      <c r="A78" s="195" t="s">
        <v>294</v>
      </c>
      <c r="B78" s="19"/>
      <c r="C78" s="19"/>
      <c r="D78" s="19"/>
      <c r="E78" s="321" t="s">
        <v>306</v>
      </c>
      <c r="F78" s="322"/>
      <c r="G78" s="322"/>
      <c r="H78" s="322"/>
      <c r="I78" s="322"/>
      <c r="J78" s="322"/>
    </row>
    <row r="79" spans="1:10" ht="29.15" customHeight="1" x14ac:dyDescent="0.35">
      <c r="A79" s="195" t="s">
        <v>295</v>
      </c>
      <c r="B79" s="19"/>
      <c r="C79" s="19"/>
      <c r="D79" s="19"/>
      <c r="E79" s="321" t="s">
        <v>307</v>
      </c>
      <c r="F79" s="322"/>
      <c r="G79" s="322"/>
      <c r="H79" s="322"/>
      <c r="I79" s="322"/>
      <c r="J79" s="322"/>
    </row>
    <row r="81" spans="1:13" s="5" customFormat="1" ht="16" x14ac:dyDescent="0.4">
      <c r="A81" s="5" t="s">
        <v>318</v>
      </c>
    </row>
    <row r="82" spans="1:13" s="44" customFormat="1" ht="16" x14ac:dyDescent="0.4"/>
    <row r="83" spans="1:13" s="197" customFormat="1" ht="29.15" customHeight="1" x14ac:dyDescent="0.35">
      <c r="A83" s="328" t="s">
        <v>260</v>
      </c>
      <c r="B83" s="328"/>
      <c r="C83" s="328"/>
      <c r="D83" s="328"/>
      <c r="E83" s="328"/>
      <c r="F83" s="328"/>
      <c r="G83" s="328"/>
      <c r="H83" s="328"/>
      <c r="I83" s="328"/>
      <c r="J83" s="328"/>
      <c r="K83" s="196"/>
      <c r="L83" s="196"/>
      <c r="M83" s="196"/>
    </row>
    <row r="84" spans="1:13" s="206" customFormat="1" ht="14.5" customHeight="1" x14ac:dyDescent="0.35">
      <c r="A84" s="205"/>
      <c r="B84" s="205"/>
      <c r="C84" s="205"/>
      <c r="D84" s="205"/>
      <c r="E84" s="205"/>
      <c r="F84" s="205"/>
      <c r="G84" s="205"/>
      <c r="H84" s="205"/>
      <c r="I84" s="205"/>
      <c r="J84" s="205"/>
      <c r="K84" s="171"/>
      <c r="L84" s="171"/>
      <c r="M84" s="171"/>
    </row>
    <row r="85" spans="1:13" s="44" customFormat="1" ht="16" x14ac:dyDescent="0.4">
      <c r="A85" s="169" t="s">
        <v>319</v>
      </c>
    </row>
    <row r="86" spans="1:13" x14ac:dyDescent="0.35">
      <c r="A86" s="25" t="str">
        <f>"Coût unitaire par test double ("&amp;Currency&amp;")"</f>
        <v>Coût unitaire par test double ()</v>
      </c>
      <c r="B86" s="63"/>
      <c r="C86" s="6" t="s">
        <v>333</v>
      </c>
    </row>
    <row r="87" spans="1:13" x14ac:dyDescent="0.35">
      <c r="A87" s="25" t="s">
        <v>320</v>
      </c>
      <c r="B87" s="78"/>
      <c r="C87" s="6" t="s">
        <v>334</v>
      </c>
    </row>
    <row r="88" spans="1:13" ht="29" x14ac:dyDescent="0.35">
      <c r="A88" s="25" t="s">
        <v>321</v>
      </c>
      <c r="B88" s="40"/>
      <c r="C88" s="6" t="s">
        <v>335</v>
      </c>
    </row>
    <row r="89" spans="1:13" x14ac:dyDescent="0.35">
      <c r="A89" s="25" t="s">
        <v>322</v>
      </c>
      <c r="B89" s="37"/>
      <c r="C89" s="6" t="s">
        <v>336</v>
      </c>
    </row>
    <row r="90" spans="1:13" x14ac:dyDescent="0.35">
      <c r="A90" s="25" t="s">
        <v>323</v>
      </c>
      <c r="B90" s="37"/>
      <c r="C90" s="6" t="s">
        <v>337</v>
      </c>
    </row>
    <row r="91" spans="1:13" x14ac:dyDescent="0.35">
      <c r="B91" s="73"/>
      <c r="C91" s="6"/>
    </row>
    <row r="92" spans="1:13" x14ac:dyDescent="0.35">
      <c r="A92" s="25" t="s">
        <v>324</v>
      </c>
      <c r="B92" s="37"/>
      <c r="C92" s="6" t="s">
        <v>338</v>
      </c>
    </row>
    <row r="93" spans="1:13" x14ac:dyDescent="0.35">
      <c r="A93" s="25" t="s">
        <v>325</v>
      </c>
      <c r="B93" s="37"/>
      <c r="C93" s="6" t="s">
        <v>339</v>
      </c>
    </row>
    <row r="94" spans="1:13" x14ac:dyDescent="0.35">
      <c r="A94" s="25" t="s">
        <v>326</v>
      </c>
      <c r="B94" s="37"/>
      <c r="C94" s="6" t="s">
        <v>340</v>
      </c>
    </row>
    <row r="95" spans="1:13" x14ac:dyDescent="0.35">
      <c r="B95" s="73"/>
      <c r="C95" s="6"/>
    </row>
    <row r="96" spans="1:13" x14ac:dyDescent="0.35">
      <c r="A96" s="169" t="s">
        <v>327</v>
      </c>
      <c r="B96" s="73"/>
      <c r="C96" s="6"/>
    </row>
    <row r="97" spans="1:12" x14ac:dyDescent="0.35">
      <c r="A97" s="195" t="str">
        <f>"Coût unitaire par test HBsAg ("&amp;Currency&amp;")"</f>
        <v>Coût unitaire par test HBsAg ()</v>
      </c>
      <c r="B97" s="208"/>
      <c r="C97" s="6" t="s">
        <v>341</v>
      </c>
    </row>
    <row r="98" spans="1:12" x14ac:dyDescent="0.35">
      <c r="A98" s="195" t="s">
        <v>320</v>
      </c>
      <c r="B98" s="209"/>
      <c r="C98" s="6" t="s">
        <v>334</v>
      </c>
    </row>
    <row r="99" spans="1:12" ht="29" x14ac:dyDescent="0.35">
      <c r="A99" s="195" t="s">
        <v>328</v>
      </c>
      <c r="B99" s="210"/>
      <c r="C99" s="6" t="s">
        <v>335</v>
      </c>
    </row>
    <row r="100" spans="1:12" x14ac:dyDescent="0.35">
      <c r="A100" s="195" t="s">
        <v>322</v>
      </c>
      <c r="B100" s="211"/>
      <c r="C100" s="6" t="s">
        <v>336</v>
      </c>
    </row>
    <row r="101" spans="1:12" x14ac:dyDescent="0.35">
      <c r="A101" s="195" t="s">
        <v>329</v>
      </c>
      <c r="B101" s="211"/>
      <c r="C101" s="6" t="s">
        <v>342</v>
      </c>
    </row>
    <row r="102" spans="1:12" x14ac:dyDescent="0.35">
      <c r="A102" s="195"/>
      <c r="B102" s="73"/>
      <c r="C102" s="6"/>
    </row>
    <row r="103" spans="1:12" x14ac:dyDescent="0.35">
      <c r="A103" s="195" t="s">
        <v>330</v>
      </c>
      <c r="B103" s="207">
        <f>ANC_DualTest_Share_Y1</f>
        <v>0</v>
      </c>
      <c r="C103" s="6" t="s">
        <v>343</v>
      </c>
    </row>
    <row r="104" spans="1:12" x14ac:dyDescent="0.35">
      <c r="A104" s="195" t="s">
        <v>331</v>
      </c>
      <c r="B104" s="207">
        <f>ANC_DualTest_Share_Y2</f>
        <v>0</v>
      </c>
      <c r="C104" s="6" t="s">
        <v>344</v>
      </c>
    </row>
    <row r="105" spans="1:12" x14ac:dyDescent="0.35">
      <c r="A105" s="195" t="s">
        <v>332</v>
      </c>
      <c r="B105" s="207">
        <f>ANC_DualTest_Share_Y3</f>
        <v>0</v>
      </c>
      <c r="C105" s="6" t="s">
        <v>345</v>
      </c>
    </row>
    <row r="106" spans="1:12" ht="15" thickBot="1" x14ac:dyDescent="0.4">
      <c r="B106" s="112"/>
      <c r="C106" s="6"/>
    </row>
    <row r="107" spans="1:12" x14ac:dyDescent="0.35">
      <c r="A107" s="214" t="s">
        <v>346</v>
      </c>
      <c r="B107" s="212"/>
      <c r="C107" s="213"/>
      <c r="D107" s="113"/>
      <c r="E107" s="113"/>
      <c r="F107" s="113"/>
      <c r="G107" s="113"/>
      <c r="H107" s="113"/>
      <c r="I107" s="113"/>
      <c r="J107" s="113"/>
      <c r="K107" s="113"/>
      <c r="L107" s="114"/>
    </row>
    <row r="108" spans="1:12" x14ac:dyDescent="0.35">
      <c r="A108" s="167" t="str">
        <f>"Coût unitaire par test triple ("&amp;Currency&amp;")"</f>
        <v>Coût unitaire par test triple ()</v>
      </c>
      <c r="B108" s="74"/>
      <c r="C108" s="6" t="s">
        <v>352</v>
      </c>
      <c r="L108" s="115"/>
    </row>
    <row r="109" spans="1:12" x14ac:dyDescent="0.35">
      <c r="A109" s="167" t="s">
        <v>320</v>
      </c>
      <c r="B109" s="77"/>
      <c r="C109" s="6" t="s">
        <v>334</v>
      </c>
      <c r="L109" s="115"/>
    </row>
    <row r="110" spans="1:12" ht="29" x14ac:dyDescent="0.35">
      <c r="A110" s="167" t="s">
        <v>347</v>
      </c>
      <c r="B110" s="75"/>
      <c r="C110" s="6" t="s">
        <v>335</v>
      </c>
      <c r="L110" s="115"/>
    </row>
    <row r="111" spans="1:12" x14ac:dyDescent="0.35">
      <c r="A111" s="167" t="s">
        <v>322</v>
      </c>
      <c r="B111" s="76"/>
      <c r="C111" s="6" t="s">
        <v>336</v>
      </c>
      <c r="L111" s="115"/>
    </row>
    <row r="112" spans="1:12" ht="29" x14ac:dyDescent="0.35">
      <c r="A112" s="167" t="s">
        <v>348</v>
      </c>
      <c r="B112" s="76"/>
      <c r="C112" s="6" t="s">
        <v>342</v>
      </c>
      <c r="L112" s="115"/>
    </row>
    <row r="113" spans="1:12" x14ac:dyDescent="0.35">
      <c r="A113" s="167"/>
      <c r="B113" s="73"/>
      <c r="C113" s="6"/>
      <c r="L113" s="115"/>
    </row>
    <row r="114" spans="1:12" x14ac:dyDescent="0.35">
      <c r="A114" s="167" t="s">
        <v>349</v>
      </c>
      <c r="B114" s="81" t="str">
        <f>IF(ANC_DualTest_Share_Y1="","",100-ANC_DualTest_Share_Y1)</f>
        <v/>
      </c>
      <c r="C114" s="6" t="s">
        <v>353</v>
      </c>
      <c r="L114" s="115"/>
    </row>
    <row r="115" spans="1:12" x14ac:dyDescent="0.35">
      <c r="A115" s="167" t="s">
        <v>350</v>
      </c>
      <c r="B115" s="81" t="str">
        <f>IF(ANC_DualTest_Share_Y2="","",100-ANC_DualTest_Share_Y2)</f>
        <v/>
      </c>
      <c r="C115" s="6" t="s">
        <v>354</v>
      </c>
      <c r="L115" s="115"/>
    </row>
    <row r="116" spans="1:12" ht="15" thickBot="1" x14ac:dyDescent="0.4">
      <c r="A116" s="168" t="s">
        <v>351</v>
      </c>
      <c r="B116" s="116" t="str">
        <f>IF(ANC_DualTest_Share_Y3="","",100-ANC_DualTest_Share_Y3)</f>
        <v/>
      </c>
      <c r="C116" s="117" t="s">
        <v>355</v>
      </c>
      <c r="D116" s="118"/>
      <c r="E116" s="118"/>
      <c r="F116" s="118"/>
      <c r="G116" s="118"/>
      <c r="H116" s="118"/>
      <c r="I116" s="118"/>
      <c r="J116" s="118"/>
      <c r="K116" s="118"/>
      <c r="L116" s="119"/>
    </row>
    <row r="117" spans="1:12" x14ac:dyDescent="0.35">
      <c r="B117" s="112"/>
      <c r="C117" s="6"/>
    </row>
    <row r="118" spans="1:12" x14ac:dyDescent="0.35">
      <c r="A118" s="163" t="s">
        <v>356</v>
      </c>
      <c r="B118" s="112"/>
      <c r="C118" s="6"/>
    </row>
    <row r="119" spans="1:12" x14ac:dyDescent="0.35">
      <c r="A119" s="25" t="str">
        <f>"Coût unitaire par dose de BPG ("&amp;Currency&amp;")"</f>
        <v>Coût unitaire par dose de BPG ()</v>
      </c>
      <c r="B119" s="63"/>
      <c r="C119" s="6" t="s">
        <v>359</v>
      </c>
    </row>
    <row r="120" spans="1:12" x14ac:dyDescent="0.35">
      <c r="A120" s="25" t="s">
        <v>320</v>
      </c>
      <c r="B120" s="78"/>
      <c r="C120" s="6" t="s">
        <v>360</v>
      </c>
    </row>
    <row r="121" spans="1:12" ht="14.5" customHeight="1" x14ac:dyDescent="0.35">
      <c r="A121" s="25" t="s">
        <v>357</v>
      </c>
      <c r="B121" s="40"/>
      <c r="C121" s="6" t="s">
        <v>361</v>
      </c>
    </row>
    <row r="122" spans="1:12" ht="29" x14ac:dyDescent="0.35">
      <c r="A122" s="25" t="s">
        <v>358</v>
      </c>
      <c r="B122" s="37"/>
      <c r="C122" s="6" t="s">
        <v>362</v>
      </c>
    </row>
    <row r="123" spans="1:12" x14ac:dyDescent="0.35">
      <c r="B123" s="112"/>
      <c r="C123" s="6"/>
    </row>
    <row r="124" spans="1:12" x14ac:dyDescent="0.35">
      <c r="A124" s="163" t="s">
        <v>108</v>
      </c>
      <c r="B124" s="215"/>
      <c r="C124" s="6"/>
    </row>
    <row r="125" spans="1:12" ht="29.5" customHeight="1" x14ac:dyDescent="0.35">
      <c r="A125" s="25" t="str">
        <f>"Coût unitaire par approvisionnement mensuel de TDF ("&amp;Currency&amp;")"</f>
        <v>Coût unitaire par approvisionnement mensuel de TDF ()</v>
      </c>
      <c r="B125" s="208"/>
      <c r="C125" s="6" t="s">
        <v>366</v>
      </c>
    </row>
    <row r="126" spans="1:12" x14ac:dyDescent="0.35">
      <c r="A126" s="25" t="s">
        <v>320</v>
      </c>
      <c r="B126" s="78"/>
      <c r="C126" s="6" t="s">
        <v>367</v>
      </c>
    </row>
    <row r="127" spans="1:12" ht="37.5" customHeight="1" x14ac:dyDescent="0.35">
      <c r="A127" s="195" t="s">
        <v>363</v>
      </c>
      <c r="B127" s="210"/>
      <c r="C127" s="322" t="s">
        <v>368</v>
      </c>
      <c r="D127" s="322"/>
      <c r="E127" s="322"/>
      <c r="F127" s="322"/>
      <c r="G127" s="322"/>
      <c r="H127" s="322"/>
      <c r="I127" s="322"/>
      <c r="J127" s="322"/>
      <c r="K127" s="322"/>
      <c r="L127" s="322"/>
    </row>
    <row r="128" spans="1:12" ht="30.65" customHeight="1" x14ac:dyDescent="0.35">
      <c r="A128" s="25" t="s">
        <v>364</v>
      </c>
      <c r="B128" s="210"/>
      <c r="C128" s="6" t="s">
        <v>361</v>
      </c>
    </row>
    <row r="129" spans="1:13" x14ac:dyDescent="0.35">
      <c r="A129" s="25" t="s">
        <v>365</v>
      </c>
      <c r="B129" s="211"/>
      <c r="C129" s="6" t="s">
        <v>369</v>
      </c>
    </row>
    <row r="130" spans="1:13" x14ac:dyDescent="0.35">
      <c r="B130" s="216"/>
      <c r="C130" s="6"/>
    </row>
    <row r="131" spans="1:13" s="197" customFormat="1" ht="56.5" customHeight="1" x14ac:dyDescent="0.35">
      <c r="A131" s="328" t="s">
        <v>370</v>
      </c>
      <c r="B131" s="328"/>
      <c r="C131" s="328"/>
      <c r="D131" s="328"/>
      <c r="E131" s="328"/>
      <c r="F131" s="328"/>
      <c r="G131" s="328"/>
      <c r="H131" s="328"/>
      <c r="I131" s="328"/>
      <c r="J131" s="328"/>
      <c r="K131" s="196"/>
      <c r="L131" s="196"/>
      <c r="M131" s="196"/>
    </row>
    <row r="132" spans="1:13" s="206" customFormat="1" ht="14.5" customHeight="1" x14ac:dyDescent="0.35">
      <c r="A132" s="205"/>
      <c r="B132" s="205"/>
      <c r="C132" s="205"/>
      <c r="D132" s="205"/>
      <c r="E132" s="205"/>
      <c r="F132" s="205"/>
      <c r="G132" s="205"/>
      <c r="H132" s="205"/>
      <c r="I132" s="205"/>
      <c r="J132" s="205"/>
      <c r="K132" s="171"/>
      <c r="L132" s="171"/>
      <c r="M132" s="171"/>
    </row>
    <row r="133" spans="1:13" ht="14.5" customHeight="1" x14ac:dyDescent="0.35">
      <c r="A133" s="169" t="s">
        <v>319</v>
      </c>
      <c r="B133" s="216"/>
      <c r="C133" s="6"/>
    </row>
    <row r="134" spans="1:13" ht="30" customHeight="1" x14ac:dyDescent="0.35">
      <c r="A134" s="25" t="s">
        <v>321</v>
      </c>
      <c r="B134" s="75"/>
      <c r="C134" s="6" t="s">
        <v>335</v>
      </c>
      <c r="D134" s="61"/>
      <c r="E134" s="42"/>
      <c r="F134" s="42"/>
      <c r="G134" s="42"/>
      <c r="H134" s="42"/>
      <c r="I134" s="42"/>
      <c r="J134" s="42"/>
    </row>
    <row r="135" spans="1:13" ht="14.5" customHeight="1" x14ac:dyDescent="0.35">
      <c r="A135" s="25" t="s">
        <v>323</v>
      </c>
      <c r="B135" s="76"/>
      <c r="C135" s="6" t="s">
        <v>371</v>
      </c>
      <c r="D135" s="61"/>
      <c r="E135" s="42"/>
      <c r="F135" s="42"/>
      <c r="G135" s="42"/>
      <c r="H135" s="42"/>
      <c r="I135" s="42"/>
      <c r="J135" s="42"/>
    </row>
    <row r="136" spans="1:13" ht="14.5" customHeight="1" x14ac:dyDescent="0.35">
      <c r="A136" s="25" t="s">
        <v>324</v>
      </c>
      <c r="B136" s="76"/>
      <c r="C136" s="6" t="s">
        <v>338</v>
      </c>
      <c r="D136" s="61"/>
      <c r="E136" s="42"/>
      <c r="F136" s="42"/>
      <c r="G136" s="42"/>
      <c r="H136" s="42"/>
      <c r="I136" s="42"/>
      <c r="J136" s="42"/>
    </row>
    <row r="137" spans="1:13" ht="14.5" customHeight="1" x14ac:dyDescent="0.35">
      <c r="A137" s="25" t="s">
        <v>325</v>
      </c>
      <c r="B137" s="76"/>
      <c r="C137" s="6" t="s">
        <v>339</v>
      </c>
      <c r="D137" s="61"/>
      <c r="E137" s="42"/>
      <c r="F137" s="42"/>
      <c r="G137" s="42"/>
      <c r="H137" s="42"/>
      <c r="I137" s="42"/>
      <c r="J137" s="42"/>
    </row>
    <row r="138" spans="1:13" ht="14.5" customHeight="1" x14ac:dyDescent="0.35">
      <c r="A138" s="25" t="s">
        <v>326</v>
      </c>
      <c r="B138" s="76"/>
      <c r="C138" s="6" t="s">
        <v>340</v>
      </c>
      <c r="D138" s="61"/>
      <c r="E138" s="42"/>
      <c r="F138" s="42"/>
      <c r="G138" s="42"/>
      <c r="H138" s="42"/>
      <c r="I138" s="42"/>
      <c r="J138" s="42"/>
    </row>
    <row r="139" spans="1:13" ht="14.5" customHeight="1" x14ac:dyDescent="0.35">
      <c r="B139" s="73"/>
      <c r="C139" s="6"/>
      <c r="D139" s="61"/>
      <c r="E139" s="42"/>
      <c r="F139" s="42"/>
      <c r="G139" s="42"/>
      <c r="H139" s="42"/>
      <c r="I139" s="42"/>
      <c r="J139" s="42"/>
    </row>
    <row r="140" spans="1:13" ht="14.5" customHeight="1" x14ac:dyDescent="0.35">
      <c r="A140" s="169" t="s">
        <v>327</v>
      </c>
      <c r="B140" s="61"/>
      <c r="C140" s="61"/>
      <c r="D140" s="61"/>
      <c r="E140" s="42"/>
      <c r="F140" s="42"/>
      <c r="G140" s="42"/>
      <c r="H140" s="42"/>
      <c r="I140" s="42"/>
      <c r="J140" s="42"/>
    </row>
    <row r="141" spans="1:13" ht="29.15" customHeight="1" x14ac:dyDescent="0.35">
      <c r="A141" s="195" t="s">
        <v>328</v>
      </c>
      <c r="B141" s="75"/>
      <c r="C141" s="6" t="s">
        <v>335</v>
      </c>
      <c r="D141" s="61"/>
      <c r="E141" s="42"/>
      <c r="F141" s="42"/>
      <c r="G141" s="42"/>
      <c r="H141" s="42"/>
      <c r="I141" s="42"/>
      <c r="J141" s="42"/>
    </row>
    <row r="142" spans="1:13" ht="14.5" customHeight="1" x14ac:dyDescent="0.35">
      <c r="A142" s="195" t="s">
        <v>329</v>
      </c>
      <c r="B142" s="76"/>
      <c r="C142" s="6" t="s">
        <v>372</v>
      </c>
      <c r="D142" s="61"/>
      <c r="E142" s="42"/>
      <c r="F142" s="42"/>
      <c r="G142" s="42"/>
      <c r="H142" s="42"/>
      <c r="I142" s="42"/>
      <c r="J142" s="42"/>
    </row>
    <row r="143" spans="1:13" ht="14.5" customHeight="1" x14ac:dyDescent="0.35">
      <c r="A143" s="25" t="s">
        <v>330</v>
      </c>
      <c r="B143" s="19"/>
      <c r="C143" s="6" t="s">
        <v>353</v>
      </c>
      <c r="D143" s="61"/>
      <c r="E143" s="42"/>
      <c r="F143" s="42"/>
      <c r="G143" s="42"/>
      <c r="H143" s="42"/>
      <c r="I143" s="42"/>
      <c r="J143" s="42"/>
    </row>
    <row r="144" spans="1:13" ht="14.5" customHeight="1" x14ac:dyDescent="0.35">
      <c r="A144" s="25" t="s">
        <v>331</v>
      </c>
      <c r="B144" s="19"/>
      <c r="C144" s="6" t="s">
        <v>354</v>
      </c>
      <c r="D144" s="61"/>
      <c r="E144" s="42"/>
      <c r="F144" s="42"/>
      <c r="G144" s="42"/>
      <c r="H144" s="42"/>
      <c r="I144" s="42"/>
      <c r="J144" s="42"/>
    </row>
    <row r="145" spans="1:12" ht="14.5" customHeight="1" x14ac:dyDescent="0.35">
      <c r="A145" s="25" t="s">
        <v>332</v>
      </c>
      <c r="B145" s="19"/>
      <c r="C145" s="6" t="s">
        <v>355</v>
      </c>
      <c r="D145" s="61"/>
      <c r="E145" s="42"/>
      <c r="F145" s="42"/>
      <c r="G145" s="42"/>
      <c r="H145" s="42"/>
      <c r="I145" s="42"/>
      <c r="J145" s="42"/>
    </row>
    <row r="146" spans="1:12" ht="14.5" customHeight="1" thickBot="1" x14ac:dyDescent="0.4">
      <c r="B146" s="61"/>
      <c r="C146" s="6"/>
      <c r="D146" s="61"/>
      <c r="E146" s="42"/>
      <c r="F146" s="42"/>
      <c r="G146" s="42"/>
      <c r="H146" s="42"/>
      <c r="I146" s="42"/>
      <c r="J146" s="42"/>
    </row>
    <row r="147" spans="1:12" ht="14.5" customHeight="1" x14ac:dyDescent="0.35">
      <c r="A147" s="214" t="s">
        <v>346</v>
      </c>
      <c r="B147" s="217"/>
      <c r="C147" s="217"/>
      <c r="D147" s="217"/>
      <c r="E147" s="218"/>
      <c r="F147" s="218"/>
      <c r="G147" s="218"/>
      <c r="H147" s="218"/>
      <c r="I147" s="218"/>
      <c r="J147" s="218"/>
      <c r="K147" s="113"/>
      <c r="L147" s="114"/>
    </row>
    <row r="148" spans="1:12" ht="29.5" customHeight="1" x14ac:dyDescent="0.35">
      <c r="A148" s="167" t="s">
        <v>347</v>
      </c>
      <c r="B148" s="75"/>
      <c r="C148" s="6" t="s">
        <v>335</v>
      </c>
      <c r="D148" s="61"/>
      <c r="E148" s="42"/>
      <c r="F148" s="42"/>
      <c r="G148" s="42"/>
      <c r="H148" s="42"/>
      <c r="I148" s="42"/>
      <c r="J148" s="42"/>
      <c r="L148" s="115"/>
    </row>
    <row r="149" spans="1:12" ht="28" customHeight="1" x14ac:dyDescent="0.35">
      <c r="A149" s="167" t="s">
        <v>348</v>
      </c>
      <c r="B149" s="76"/>
      <c r="C149" s="321" t="s">
        <v>373</v>
      </c>
      <c r="D149" s="322"/>
      <c r="E149" s="322"/>
      <c r="F149" s="322"/>
      <c r="G149" s="322"/>
      <c r="H149" s="322"/>
      <c r="I149" s="322"/>
      <c r="J149" s="322"/>
      <c r="K149" s="322"/>
      <c r="L149" s="323"/>
    </row>
    <row r="150" spans="1:12" ht="14.5" customHeight="1" x14ac:dyDescent="0.35">
      <c r="A150" s="167" t="s">
        <v>349</v>
      </c>
      <c r="B150" s="81" t="str">
        <f>IF(Other_DualTest_Share_Y1="","",100-Other_DualTest_Share_Y1)</f>
        <v/>
      </c>
      <c r="C150" s="6" t="s">
        <v>353</v>
      </c>
      <c r="D150" s="61"/>
      <c r="E150" s="42"/>
      <c r="F150" s="42"/>
      <c r="G150" s="42"/>
      <c r="H150" s="42"/>
      <c r="I150" s="42"/>
      <c r="J150" s="42"/>
      <c r="L150" s="115"/>
    </row>
    <row r="151" spans="1:12" ht="14.5" customHeight="1" x14ac:dyDescent="0.35">
      <c r="A151" s="167" t="s">
        <v>350</v>
      </c>
      <c r="B151" s="81" t="str">
        <f>IF(Other_DualTest_Share_Y2="","",100-Other_DualTest_Share_Y2)</f>
        <v/>
      </c>
      <c r="C151" s="6" t="s">
        <v>354</v>
      </c>
      <c r="D151" s="61"/>
      <c r="E151" s="42"/>
      <c r="F151" s="42"/>
      <c r="G151" s="42"/>
      <c r="H151" s="42"/>
      <c r="I151" s="42"/>
      <c r="J151" s="42"/>
      <c r="L151" s="115"/>
    </row>
    <row r="152" spans="1:12" ht="14.5" customHeight="1" thickBot="1" x14ac:dyDescent="0.4">
      <c r="A152" s="168" t="s">
        <v>351</v>
      </c>
      <c r="B152" s="116" t="str">
        <f>IF(Other_DualTest_Share_Y3="","",100-Other_DualTest_Share_Y3)</f>
        <v/>
      </c>
      <c r="C152" s="117" t="s">
        <v>355</v>
      </c>
      <c r="D152" s="219"/>
      <c r="E152" s="220"/>
      <c r="F152" s="220"/>
      <c r="G152" s="220"/>
      <c r="H152" s="220"/>
      <c r="I152" s="220"/>
      <c r="J152" s="220"/>
      <c r="K152" s="118"/>
      <c r="L152" s="119"/>
    </row>
    <row r="153" spans="1:12" ht="14.5" customHeight="1" x14ac:dyDescent="0.35">
      <c r="B153" s="112"/>
      <c r="C153" s="6"/>
      <c r="D153" s="61"/>
      <c r="E153" s="42"/>
      <c r="F153" s="42"/>
      <c r="G153" s="42"/>
      <c r="H153" s="42"/>
      <c r="I153" s="42"/>
      <c r="J153" s="42"/>
    </row>
    <row r="154" spans="1:12" ht="14.5" customHeight="1" x14ac:dyDescent="0.35">
      <c r="A154" s="163" t="s">
        <v>374</v>
      </c>
      <c r="B154" s="112"/>
      <c r="C154" s="6"/>
      <c r="D154" s="61"/>
      <c r="E154" s="42"/>
      <c r="F154" s="42"/>
      <c r="G154" s="42"/>
      <c r="H154" s="42"/>
      <c r="I154" s="42"/>
      <c r="J154" s="42"/>
    </row>
    <row r="155" spans="1:12" ht="28" customHeight="1" x14ac:dyDescent="0.35">
      <c r="A155" s="25" t="s">
        <v>357</v>
      </c>
      <c r="B155" s="75"/>
      <c r="C155" s="6" t="s">
        <v>361</v>
      </c>
      <c r="D155" s="61"/>
      <c r="E155" s="42"/>
      <c r="F155" s="42"/>
      <c r="G155" s="42"/>
      <c r="H155" s="42"/>
      <c r="I155" s="42"/>
      <c r="J155" s="42"/>
    </row>
    <row r="156" spans="1:12" ht="28.5" customHeight="1" x14ac:dyDescent="0.35">
      <c r="A156" s="25" t="s">
        <v>358</v>
      </c>
      <c r="B156" s="76"/>
      <c r="C156" s="6" t="s">
        <v>377</v>
      </c>
      <c r="D156" s="61"/>
      <c r="E156" s="42"/>
      <c r="F156" s="42"/>
      <c r="G156" s="42"/>
      <c r="H156" s="42"/>
      <c r="I156" s="42"/>
      <c r="J156" s="42"/>
    </row>
    <row r="157" spans="1:12" x14ac:dyDescent="0.35">
      <c r="B157" s="216"/>
      <c r="C157" s="6"/>
    </row>
    <row r="158" spans="1:12" x14ac:dyDescent="0.35">
      <c r="A158" s="163" t="s">
        <v>375</v>
      </c>
      <c r="B158" s="216"/>
      <c r="C158" s="6"/>
    </row>
    <row r="159" spans="1:12" ht="29" x14ac:dyDescent="0.35">
      <c r="A159" s="195" t="s">
        <v>376</v>
      </c>
      <c r="B159" s="250"/>
      <c r="C159" s="6" t="s">
        <v>378</v>
      </c>
    </row>
    <row r="160" spans="1:12" ht="29" x14ac:dyDescent="0.35">
      <c r="A160" s="25" t="s">
        <v>364</v>
      </c>
      <c r="B160" s="75"/>
      <c r="C160" s="6" t="s">
        <v>361</v>
      </c>
    </row>
    <row r="161" spans="1:10" x14ac:dyDescent="0.35">
      <c r="A161" s="25" t="s">
        <v>365</v>
      </c>
      <c r="B161" s="76"/>
      <c r="C161" s="6" t="s">
        <v>379</v>
      </c>
    </row>
    <row r="162" spans="1:10" x14ac:dyDescent="0.35">
      <c r="B162" s="112"/>
      <c r="C162" s="6"/>
    </row>
    <row r="163" spans="1:10" s="5" customFormat="1" ht="16" x14ac:dyDescent="0.4">
      <c r="A163" s="5" t="s">
        <v>380</v>
      </c>
    </row>
    <row r="164" spans="1:10" ht="14.5" customHeight="1" x14ac:dyDescent="0.35">
      <c r="A164" s="25" t="s">
        <v>381</v>
      </c>
      <c r="B164" s="18"/>
      <c r="C164" s="6" t="s">
        <v>390</v>
      </c>
    </row>
    <row r="166" spans="1:10" x14ac:dyDescent="0.35">
      <c r="A166" s="169" t="s">
        <v>382</v>
      </c>
    </row>
    <row r="167" spans="1:10" x14ac:dyDescent="0.35">
      <c r="A167" s="25" t="s">
        <v>383</v>
      </c>
      <c r="B167" s="257">
        <v>1.2</v>
      </c>
      <c r="C167" s="6" t="s">
        <v>391</v>
      </c>
    </row>
    <row r="169" spans="1:10" ht="14.5" customHeight="1" x14ac:dyDescent="0.35">
      <c r="A169" s="170" t="s">
        <v>384</v>
      </c>
    </row>
    <row r="170" spans="1:10" x14ac:dyDescent="0.35">
      <c r="A170" s="25" t="s">
        <v>385</v>
      </c>
      <c r="B170" s="18">
        <v>7.5</v>
      </c>
      <c r="C170" s="6" t="s">
        <v>392</v>
      </c>
    </row>
    <row r="171" spans="1:10" x14ac:dyDescent="0.35">
      <c r="A171" s="25" t="s">
        <v>386</v>
      </c>
      <c r="B171" s="258">
        <v>1</v>
      </c>
      <c r="C171" s="6" t="s">
        <v>393</v>
      </c>
    </row>
    <row r="172" spans="1:10" x14ac:dyDescent="0.35">
      <c r="A172" s="25" t="s">
        <v>387</v>
      </c>
      <c r="B172" s="18">
        <v>4.5</v>
      </c>
      <c r="C172" s="6" t="s">
        <v>394</v>
      </c>
    </row>
    <row r="173" spans="1:10" ht="15" customHeight="1" x14ac:dyDescent="0.35">
      <c r="A173" s="25" t="s">
        <v>17</v>
      </c>
      <c r="B173" s="18">
        <v>3.5</v>
      </c>
      <c r="C173" s="321" t="s">
        <v>395</v>
      </c>
      <c r="D173" s="322"/>
      <c r="E173" s="322"/>
      <c r="F173" s="322"/>
      <c r="G173" s="322"/>
      <c r="H173" s="322"/>
      <c r="I173" s="322"/>
      <c r="J173" s="322"/>
    </row>
    <row r="174" spans="1:10" x14ac:dyDescent="0.35">
      <c r="A174" s="25" t="s">
        <v>388</v>
      </c>
      <c r="B174" s="258">
        <v>2</v>
      </c>
      <c r="C174" s="6" t="s">
        <v>396</v>
      </c>
    </row>
    <row r="175" spans="1:10" x14ac:dyDescent="0.35">
      <c r="A175" s="25" t="s">
        <v>389</v>
      </c>
      <c r="B175" s="18">
        <v>3.5</v>
      </c>
      <c r="C175" s="6" t="s">
        <v>397</v>
      </c>
    </row>
    <row r="177" spans="1:13" s="5" customFormat="1" ht="16" x14ac:dyDescent="0.4">
      <c r="A177" s="5" t="s">
        <v>398</v>
      </c>
    </row>
    <row r="178" spans="1:13" ht="26.15" customHeight="1" x14ac:dyDescent="0.35">
      <c r="A178" s="329" t="s">
        <v>399</v>
      </c>
      <c r="B178" s="329"/>
      <c r="C178" s="329"/>
      <c r="D178" s="329"/>
      <c r="E178" s="329"/>
      <c r="F178" s="329"/>
      <c r="G178" s="329"/>
      <c r="H178" s="329"/>
      <c r="I178" s="329"/>
      <c r="J178" s="329"/>
    </row>
    <row r="180" spans="1:13" x14ac:dyDescent="0.35">
      <c r="A180" s="57" t="s">
        <v>400</v>
      </c>
      <c r="B180" s="58" t="s">
        <v>401</v>
      </c>
      <c r="C180" s="58" t="s">
        <v>402</v>
      </c>
      <c r="D180" s="58" t="s">
        <v>403</v>
      </c>
    </row>
    <row r="181" spans="1:13" ht="23.15" customHeight="1" x14ac:dyDescent="0.35">
      <c r="A181" s="172" t="s">
        <v>404</v>
      </c>
      <c r="B181" s="19"/>
      <c r="C181" s="19"/>
      <c r="D181" s="19"/>
      <c r="E181" s="321" t="s">
        <v>405</v>
      </c>
      <c r="F181" s="322"/>
      <c r="G181" s="322"/>
      <c r="H181" s="322"/>
      <c r="I181" s="322"/>
      <c r="J181" s="322"/>
    </row>
    <row r="182" spans="1:13" x14ac:dyDescent="0.35">
      <c r="A182" s="172" t="str">
        <f>"Contribution du gouvernement ("&amp;Currency&amp;")"</f>
        <v>Contribution du gouvernement ()</v>
      </c>
      <c r="B182" s="261" t="str">
        <f>IFERROR(IF(B181="", "", Total_Budget*(B181/100)),"")</f>
        <v/>
      </c>
      <c r="C182" s="261" t="str">
        <f>IFERROR(IF(C181="", "", Total_Budget*(C181/100)),"")</f>
        <v/>
      </c>
      <c r="D182" s="261" t="str">
        <f>IFERROR(IF(D181="", "", Total_Budget*(D181/100)),"")</f>
        <v/>
      </c>
      <c r="E182" s="6" t="s">
        <v>406</v>
      </c>
    </row>
    <row r="183" spans="1:13" x14ac:dyDescent="0.35">
      <c r="A183" s="172" t="str">
        <f>"Déficit de financement du Fonds mondial ("&amp;Currency&amp;")"</f>
        <v>Déficit de financement du Fonds mondial ()</v>
      </c>
      <c r="B183" s="261" t="str">
        <f>IFERROR(IF(B181="", Total_Budget, Total_Budget-B182),"")</f>
        <v/>
      </c>
      <c r="C183" s="261" t="str">
        <f>IFERROR(IF(C181="", Total_Budget, Total_Budget-C182),"")</f>
        <v/>
      </c>
      <c r="D183" s="261" t="str">
        <f>IFERROR(IF(D181="", Total_Budget, Total_Budget-D182),"")</f>
        <v/>
      </c>
      <c r="E183" s="6" t="s">
        <v>407</v>
      </c>
    </row>
    <row r="184" spans="1:13" x14ac:dyDescent="0.35">
      <c r="B184" s="162"/>
      <c r="C184" s="162"/>
      <c r="D184" s="162"/>
      <c r="E184" s="6"/>
    </row>
    <row r="185" spans="1:13" s="10" customFormat="1" ht="16" x14ac:dyDescent="0.4">
      <c r="A185" s="324" t="s">
        <v>408</v>
      </c>
      <c r="B185" s="324"/>
      <c r="C185" s="324"/>
      <c r="D185" s="324"/>
      <c r="E185" s="324"/>
      <c r="F185" s="324"/>
      <c r="G185" s="324"/>
      <c r="H185" s="324"/>
      <c r="I185" s="324"/>
      <c r="J185" s="324"/>
      <c r="K185" s="324"/>
      <c r="L185" s="324"/>
      <c r="M185" s="324"/>
    </row>
    <row r="186" spans="1:13" x14ac:dyDescent="0.35">
      <c r="A186" s="172" t="s">
        <v>409</v>
      </c>
      <c r="B186" s="325" t="str">
        <f>IF(AND(Country_Name&lt;&gt;"",  ANC_Population&lt;&gt;"", Syphilis_Prevalence&lt;&gt;"", Baseline_Screening_Coverage&lt;&gt;"", Baseline_Treatment_Coverage&lt;&gt;"", Y1_Screening_Target&lt;&gt;"", Y2_Screening_Target&lt;&gt;"", Y3_Screening_Target&lt;&gt;"", Y1_Treatment_Target&lt;&gt;"", Y2_Treatment_Target&lt;&gt;"", Y3_Treatment_Target&lt;&gt;"", BPG_UnitCost&lt;&gt;""), "✓ Tous les champs obligatoires ont été remplis", "✗ Champs obligatoires manquants")</f>
        <v>✗ Champs obligatoires manquants</v>
      </c>
      <c r="C186" s="325"/>
      <c r="D186" s="325"/>
      <c r="E186" s="325"/>
      <c r="F186" s="325"/>
    </row>
    <row r="187" spans="1:13" x14ac:dyDescent="0.35">
      <c r="A187" s="172" t="s">
        <v>410</v>
      </c>
      <c r="B187" s="325" t="str">
        <f>IF(Country_Name="", "⚠ Sélectionnez un pays dans le menu déroulant", IF(Country_Name="Other", "✓ Manual entry mode - enter all data in yellow and green fields", IF(ANC_Population="", "✗ Country not in database - select 'Other' and enter data manually", "✓ Data loaded from database")))</f>
        <v>⚠ Sélectionnez un pays dans le menu déroulant</v>
      </c>
      <c r="C187" s="325"/>
      <c r="D187" s="325"/>
      <c r="E187" s="325"/>
      <c r="F187" s="325"/>
    </row>
  </sheetData>
  <sheetProtection sheet="1" formatCells="0" formatColumns="0" selectLockedCells="1"/>
  <mergeCells count="37">
    <mergeCell ref="C54:J54"/>
    <mergeCell ref="C127:L127"/>
    <mergeCell ref="C73:J73"/>
    <mergeCell ref="C74:J74"/>
    <mergeCell ref="E78:J78"/>
    <mergeCell ref="E79:J79"/>
    <mergeCell ref="C75:J75"/>
    <mergeCell ref="E48:J48"/>
    <mergeCell ref="E49:J49"/>
    <mergeCell ref="E181:J181"/>
    <mergeCell ref="A178:J178"/>
    <mergeCell ref="C173:J173"/>
    <mergeCell ref="E69:J69"/>
    <mergeCell ref="E70:J70"/>
    <mergeCell ref="C65:J65"/>
    <mergeCell ref="C66:J66"/>
    <mergeCell ref="E58:J58"/>
    <mergeCell ref="E59:J59"/>
    <mergeCell ref="A61:J61"/>
    <mergeCell ref="C55:J55"/>
    <mergeCell ref="A83:J83"/>
    <mergeCell ref="A131:J131"/>
    <mergeCell ref="C53:J53"/>
    <mergeCell ref="A1:XFD2"/>
    <mergeCell ref="A3:J3"/>
    <mergeCell ref="C43:J43"/>
    <mergeCell ref="C44:J44"/>
    <mergeCell ref="C45:J45"/>
    <mergeCell ref="C27:J27"/>
    <mergeCell ref="C28:J28"/>
    <mergeCell ref="A40:J40"/>
    <mergeCell ref="A25:J25"/>
    <mergeCell ref="A12:J12"/>
    <mergeCell ref="C149:L149"/>
    <mergeCell ref="A185:M185"/>
    <mergeCell ref="B186:F186"/>
    <mergeCell ref="B187:F187"/>
  </mergeCells>
  <conditionalFormatting sqref="B186">
    <cfRule type="containsText" dxfId="12" priority="6" operator="containsText" text="✗">
      <formula>NOT(ISERROR(SEARCH("✗",B186)))</formula>
    </cfRule>
    <cfRule type="containsText" dxfId="11" priority="7" operator="containsText" text="✓">
      <formula>NOT(ISERROR(SEARCH("✓",B186)))</formula>
    </cfRule>
  </conditionalFormatting>
  <conditionalFormatting sqref="B187:F187">
    <cfRule type="containsText" dxfId="8" priority="1" operator="containsText" text="✗">
      <formula>NOT(ISERROR(SEARCH("✗",B187)))</formula>
    </cfRule>
    <cfRule type="containsText" dxfId="7" priority="2" operator="containsText" text="⚠">
      <formula>NOT(ISERROR(SEARCH("⚠",B187)))</formula>
    </cfRule>
    <cfRule type="containsText" dxfId="6" priority="3" operator="containsText" text="✓">
      <formula>NOT(ISERROR(SEARCH("✓",B187)))</formula>
    </cfRule>
  </conditionalFormatting>
  <dataValidations count="14">
    <dataValidation type="decimal" allowBlank="1" showInputMessage="1" showErrorMessage="1" errorTitle="Invalid Percentage" error="Please enter a value between 0 and 100" sqref="B65:B67 B48:D52 B26:D26 B140:C140 B73:B76 B57 B69:D70 B29:B39 D30:D36 B41:B55 B78:D79 B143:B147 C147 C30:C33 B56:D56 B58:D60 B76:D76 D134:D148 D150:D156" xr:uid="{85E6F9FF-60D5-4903-85A3-224E99C5E5E3}">
      <formula1>0</formula1>
      <formula2>100</formula2>
    </dataValidation>
    <dataValidation type="list" allowBlank="1" showInputMessage="1" showErrorMessage="1" sqref="B164" xr:uid="{304439FF-A664-49FD-BB8B-AC7764B9DA10}">
      <formula1>"Simple,Detailed"</formula1>
    </dataValidation>
    <dataValidation type="list" allowBlank="1" showInputMessage="1" showErrorMessage="1" promptTitle="Select Country" prompt="Choose your country from the dropdown. If your country is not listed, select &quot;Other&quot; and enter all data manually in the yellow and grey fields." sqref="B6" xr:uid="{0CA7A440-102D-43A2-BAD1-23CCBAA2A18A}">
      <formula1>Country_List</formula1>
    </dataValidation>
    <dataValidation type="decimal" operator="greaterThanOrEqual" allowBlank="1" showInputMessage="1" showErrorMessage="1" errorTitle="Invalid Entry" error="Enter a number 0.1 or greater. Typically between 1 and 3. Use decimals for partial retesting (e.g., 1.5)." sqref="B43 B53 B73" xr:uid="{55F96FD3-65A9-4684-9FB6-1F44F97A5F77}">
      <formula1>0.1</formula1>
    </dataValidation>
    <dataValidation type="decimal" allowBlank="1" showInputMessage="1" showErrorMessage="1" errorTitle="Invalid Entry" error="Enter a number between 0 and 2. Leave blank to exclude partner testing." sqref="B44 B54 B74" xr:uid="{C0F2547F-7B25-4BF3-8073-3863813D1117}">
      <formula1>0</formula1>
      <formula2>2</formula2>
    </dataValidation>
    <dataValidation type="decimal" allowBlank="1" showInputMessage="1" showErrorMessage="1" errorTitle="Invalid Entry" error="Enter a number between 0 and 2. Leave blank to exclude partner treatment." sqref="B45 B55 B75" xr:uid="{239F09F8-DED3-40FA-AC48-28E545380423}">
      <formula1>0</formula1>
      <formula2>2</formula2>
    </dataValidation>
    <dataValidation type="decimal" allowBlank="1" showInputMessage="1" showErrorMessage="1" errorTitle="Invalid Percentage" error="Enter percentage between 0 and 100. Leave blank if not using this scenario." sqref="B181:D181" xr:uid="{35EF0BC2-50A9-4087-AD20-265DE13728EF}">
      <formula1>0</formula1>
      <formula2>100</formula2>
    </dataValidation>
    <dataValidation type="whole" operator="greaterThanOrEqual" allowBlank="1" showInputMessage="1" showErrorMessage="1" sqref="B29" xr:uid="{24331C37-55D3-47BF-94BD-4E70A1F9A09E}">
      <formula1>0</formula1>
    </dataValidation>
    <dataValidation type="decimal" operator="greaterThanOrEqual" allowBlank="1" showInputMessage="1" showErrorMessage="1" errorTitle="Invalid Percentage" error="Please enter a value between 0 and 100" sqref="B64" xr:uid="{C43533B0-4A82-41D9-A79E-8F22F21B3C01}">
      <formula1>0.1</formula1>
    </dataValidation>
    <dataValidation type="list" allowBlank="1" showInputMessage="1" showErrorMessage="1" sqref="B8" xr:uid="{A5182CC6-0133-4199-A060-81149F52889B}">
      <formula1>"USD,EUR"</formula1>
    </dataValidation>
    <dataValidation type="decimal" operator="greaterThan" allowBlank="1" showInputMessage="1" showErrorMessage="1" errorTitle="Invalid Buffer Stock" error="Enter a positive number representing months of supply. Use decimals for precision (e.g., 1.5 months)." sqref="B88 B121 B99 B134 B155 B148 B110 B128 B141 B159:B160" xr:uid="{EB8E959C-6A90-41DC-90F9-910E4A617ED8}">
      <formula1>0</formula1>
    </dataValidation>
    <dataValidation type="list" allowBlank="1" showInputMessage="1" showErrorMessage="1" sqref="B122 B90 B129 B112:B113 B159:B161 B101 B140:B149 B153:B156 B134:B135" xr:uid="{EB5F657A-04A1-44B2-A0AF-F3A1A4562F9B}">
      <formula1>"Trimestriel,Semestriel,Annuel"</formula1>
    </dataValidation>
    <dataValidation type="custom" allowBlank="1" showInputMessage="1" showErrorMessage="1" error="Please enter a number between 0 and 100" sqref="B61 B17:B26 B29:B36 B131:B132" xr:uid="{EAFC500E-9B25-46C3-B7BF-7AADCAC91667}">
      <formula1>OR(B17="", AND(B17&gt;=0, B17&lt;=100))</formula1>
    </dataValidation>
    <dataValidation type="list" allowBlank="1" showInputMessage="1" showErrorMessage="1" sqref="B133" xr:uid="{260D7DC8-D85B-43DF-8261-10F64A2034A1}">
      <formula1>"Quarterly,Bi-Annual,Annual"</formula1>
    </dataValidation>
  </dataValidations>
  <pageMargins left="0.7" right="0.7" top="0.75" bottom="0.75" header="0.3" footer="0.3"/>
  <pageSetup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990D2-C1CB-4869-9D22-22BBF12DE50F}">
  <sheetPr>
    <tabColor rgb="FF002060"/>
  </sheetPr>
  <dimension ref="A1:P108"/>
  <sheetViews>
    <sheetView showGridLines="0" topLeftCell="A73" zoomScaleNormal="100" workbookViewId="0">
      <selection activeCell="C99" sqref="C99:D99"/>
    </sheetView>
  </sheetViews>
  <sheetFormatPr defaultRowHeight="14.5" x14ac:dyDescent="0.35"/>
  <cols>
    <col min="1" max="1" width="17.1796875" customWidth="1"/>
    <col min="2" max="2" width="19" customWidth="1"/>
    <col min="3" max="3" width="2.7265625" customWidth="1"/>
    <col min="4" max="4" width="14.1796875" customWidth="1"/>
    <col min="5" max="5" width="13.7265625" customWidth="1"/>
    <col min="6" max="6" width="13.1796875" customWidth="1"/>
    <col min="7" max="7" width="14.1796875" customWidth="1"/>
    <col min="8" max="8" width="13.81640625" customWidth="1"/>
    <col min="9" max="9" width="12.453125" customWidth="1"/>
    <col min="10" max="10" width="12.1796875" customWidth="1"/>
    <col min="11" max="11" width="12.453125" customWidth="1"/>
    <col min="12" max="12" width="10.54296875" customWidth="1"/>
    <col min="13" max="13" width="3.26953125" customWidth="1"/>
    <col min="14" max="14" width="11.7265625" customWidth="1"/>
  </cols>
  <sheetData>
    <row r="1" spans="1:14" s="29" customFormat="1" ht="28" customHeight="1" x14ac:dyDescent="0.35">
      <c r="A1" s="330" t="s">
        <v>424</v>
      </c>
      <c r="B1" s="330"/>
      <c r="C1" s="330"/>
      <c r="D1" s="330"/>
      <c r="E1" s="330"/>
      <c r="F1" s="330"/>
      <c r="G1" s="330"/>
      <c r="H1" s="330"/>
      <c r="I1" s="330"/>
      <c r="J1" s="330"/>
      <c r="K1" s="330"/>
      <c r="L1" s="330"/>
      <c r="M1" s="330"/>
      <c r="N1" s="330"/>
    </row>
    <row r="2" spans="1:14" ht="20.149999999999999" customHeight="1" x14ac:dyDescent="0.35">
      <c r="A2" s="31" t="s">
        <v>425</v>
      </c>
      <c r="B2" s="32">
        <f>IF(Country_Name="Other", Manual_Country_Name, Country_Name)</f>
        <v>0</v>
      </c>
      <c r="C2" s="32"/>
      <c r="D2" s="23"/>
      <c r="E2" s="23"/>
      <c r="F2" s="23"/>
      <c r="G2" s="23"/>
    </row>
    <row r="3" spans="1:14" x14ac:dyDescent="0.35">
      <c r="A3" s="23"/>
      <c r="B3" s="23"/>
      <c r="C3" s="23"/>
      <c r="D3" s="23"/>
      <c r="E3" s="23"/>
      <c r="F3" s="23"/>
      <c r="G3" s="23"/>
    </row>
    <row r="4" spans="1:14" s="30" customFormat="1" ht="18.5" x14ac:dyDescent="0.45">
      <c r="A4" s="337" t="s">
        <v>426</v>
      </c>
      <c r="B4" s="337"/>
      <c r="C4" s="337"/>
      <c r="D4" s="337"/>
      <c r="E4" s="337"/>
      <c r="F4" s="337"/>
      <c r="G4" s="337"/>
      <c r="H4" s="337"/>
      <c r="I4" s="337"/>
      <c r="J4" s="337"/>
      <c r="K4" s="337"/>
      <c r="L4" s="337"/>
      <c r="M4" s="337"/>
      <c r="N4" s="337"/>
    </row>
    <row r="5" spans="1:14" s="30" customFormat="1" ht="18.5" x14ac:dyDescent="0.45">
      <c r="A5" s="34"/>
      <c r="B5" s="34"/>
      <c r="C5" s="34"/>
      <c r="D5" s="34"/>
      <c r="E5" s="34"/>
      <c r="F5" s="34"/>
      <c r="G5" s="34"/>
      <c r="H5" s="34"/>
      <c r="I5" s="34"/>
      <c r="J5" s="34"/>
      <c r="K5" s="34"/>
    </row>
    <row r="6" spans="1:14" x14ac:dyDescent="0.35">
      <c r="A6" s="164" t="s">
        <v>427</v>
      </c>
      <c r="B6" s="23"/>
      <c r="C6" s="23"/>
      <c r="D6" s="23"/>
      <c r="E6" s="23"/>
      <c r="F6" s="23"/>
      <c r="G6" s="23"/>
    </row>
    <row r="7" spans="1:14" ht="16" x14ac:dyDescent="0.35">
      <c r="A7" s="290" t="s">
        <v>428</v>
      </c>
      <c r="B7" s="291"/>
      <c r="C7" s="121"/>
      <c r="D7" s="154" t="str">
        <f>IFERROR(ThreeYear_DualTests_Total+IF(Other_Population="",0,ThreeYear_Other_DualTests_Total),"")</f>
        <v/>
      </c>
      <c r="E7" s="23"/>
      <c r="F7" s="23"/>
      <c r="G7" s="23"/>
    </row>
    <row r="8" spans="1:14" ht="16" x14ac:dyDescent="0.35">
      <c r="A8" s="333" t="s">
        <v>429</v>
      </c>
      <c r="B8" s="333"/>
      <c r="C8" s="121"/>
      <c r="D8" s="154" t="str">
        <f>IFERROR(ThreeYear_DualTest_Packs+IF(Other_Population="",0,ThreeYear_Other_DualTest_Packs),"")</f>
        <v/>
      </c>
      <c r="E8" s="23"/>
      <c r="F8" s="23"/>
      <c r="G8" s="23"/>
    </row>
    <row r="9" spans="1:14" ht="16" x14ac:dyDescent="0.4">
      <c r="A9" s="334" t="s">
        <v>430</v>
      </c>
      <c r="B9" s="335"/>
      <c r="C9" s="157" t="str">
        <f>IF(Currency="USD","$","€")</f>
        <v>€</v>
      </c>
      <c r="D9" s="155" t="str">
        <f>IFERROR(DualTest_Total_Budget,"")</f>
        <v/>
      </c>
      <c r="E9" s="23"/>
      <c r="F9" s="23"/>
      <c r="G9" s="23"/>
    </row>
    <row r="10" spans="1:14" ht="16" x14ac:dyDescent="0.35">
      <c r="A10" s="31"/>
      <c r="B10" s="31"/>
      <c r="C10" s="31"/>
      <c r="D10" s="148"/>
      <c r="E10" s="23"/>
      <c r="F10" s="23"/>
      <c r="G10" s="23"/>
    </row>
    <row r="11" spans="1:14" ht="16" x14ac:dyDescent="0.35">
      <c r="A11" s="164" t="s">
        <v>432</v>
      </c>
      <c r="B11" s="31"/>
      <c r="C11" s="31"/>
      <c r="D11" s="148"/>
      <c r="E11" s="23"/>
      <c r="F11" s="23"/>
      <c r="G11" s="23"/>
    </row>
    <row r="12" spans="1:14" ht="16" x14ac:dyDescent="0.35">
      <c r="A12" s="290" t="s">
        <v>428</v>
      </c>
      <c r="B12" s="291"/>
      <c r="C12" s="121"/>
      <c r="D12" s="154" t="str">
        <f>IFERROR(ThreeYear_TripleTests_Total+IF(Other_Population="",0,ThreeYear_Other_TripleTests_Total),"")</f>
        <v/>
      </c>
      <c r="E12" s="23"/>
      <c r="F12" s="23"/>
      <c r="G12" s="23"/>
    </row>
    <row r="13" spans="1:14" ht="16" x14ac:dyDescent="0.35">
      <c r="A13" s="290" t="s">
        <v>429</v>
      </c>
      <c r="B13" s="291"/>
      <c r="C13" s="121"/>
      <c r="D13" s="154" t="str">
        <f>IFERROR(ThreeYear_TripleTest_Packs+IF(Other_Population="",0,ThreeYear_Other_TripleTest_Packs),"")</f>
        <v/>
      </c>
      <c r="E13" s="23"/>
      <c r="F13" s="23"/>
      <c r="G13" s="23"/>
    </row>
    <row r="14" spans="1:14" ht="16" x14ac:dyDescent="0.35">
      <c r="A14" s="334" t="s">
        <v>430</v>
      </c>
      <c r="B14" s="335"/>
      <c r="C14" s="157" t="str">
        <f>IF(Currency="USD","$","€")</f>
        <v>€</v>
      </c>
      <c r="D14" s="154" t="str">
        <f>IFERROR(TripleTest_Total_Budget,"")</f>
        <v/>
      </c>
      <c r="E14" s="23"/>
      <c r="F14" s="23"/>
      <c r="G14" s="23"/>
    </row>
    <row r="15" spans="1:14" ht="16" x14ac:dyDescent="0.35">
      <c r="A15" s="2"/>
      <c r="B15" s="2"/>
      <c r="C15" s="156"/>
      <c r="D15" s="148"/>
      <c r="E15" s="23"/>
      <c r="F15" s="23"/>
      <c r="G15" s="23"/>
    </row>
    <row r="16" spans="1:14" s="188" customFormat="1" ht="16" x14ac:dyDescent="0.35">
      <c r="A16" s="164" t="s">
        <v>431</v>
      </c>
      <c r="B16" s="190"/>
      <c r="C16" s="191"/>
      <c r="D16" s="192"/>
      <c r="E16" s="193"/>
      <c r="F16" s="193"/>
      <c r="G16" s="193"/>
    </row>
    <row r="17" spans="1:7" s="188" customFormat="1" ht="16" x14ac:dyDescent="0.35">
      <c r="A17" s="310" t="s">
        <v>428</v>
      </c>
      <c r="B17" s="311"/>
      <c r="C17" s="194"/>
      <c r="D17" s="154" t="str">
        <f>IFERROR(ThreeYear_HBsAgTests_Total+IF(HBV_Other_Population="",0,ThreeYear_Other_HBsAgTests_Total),"")</f>
        <v/>
      </c>
      <c r="E17" s="193"/>
      <c r="F17" s="193"/>
      <c r="G17" s="193"/>
    </row>
    <row r="18" spans="1:7" s="188" customFormat="1" ht="16" x14ac:dyDescent="0.35">
      <c r="A18" s="310" t="s">
        <v>429</v>
      </c>
      <c r="B18" s="311"/>
      <c r="C18" s="194"/>
      <c r="D18" s="154" t="str">
        <f>IFERROR(ThreeYear_HBsAg_Packs+IF(HBV_Other_Population="",0,ThreeYear_Other_HBsAg_Packs),"")</f>
        <v/>
      </c>
      <c r="E18" s="193"/>
      <c r="F18" s="193"/>
      <c r="G18" s="193"/>
    </row>
    <row r="19" spans="1:7" s="188" customFormat="1" ht="16" x14ac:dyDescent="0.35">
      <c r="A19" s="338" t="s">
        <v>430</v>
      </c>
      <c r="B19" s="339"/>
      <c r="C19" s="222" t="str">
        <f>IF(Currency="USD","$","€")</f>
        <v>€</v>
      </c>
      <c r="D19" s="154" t="str">
        <f>IFERROR(HBsAg_Total_Budget,"")</f>
        <v/>
      </c>
      <c r="E19" s="193"/>
      <c r="F19" s="193"/>
      <c r="G19" s="193"/>
    </row>
    <row r="20" spans="1:7" ht="16" x14ac:dyDescent="0.35">
      <c r="A20" s="2"/>
      <c r="B20" s="2"/>
      <c r="C20" s="156"/>
      <c r="D20" s="148"/>
      <c r="E20" s="23"/>
      <c r="F20" s="23"/>
      <c r="G20" s="23"/>
    </row>
    <row r="21" spans="1:7" ht="16" x14ac:dyDescent="0.35">
      <c r="A21" s="164" t="s">
        <v>42</v>
      </c>
      <c r="B21" s="31"/>
      <c r="C21" s="31"/>
      <c r="D21" s="148"/>
      <c r="E21" s="23"/>
      <c r="F21" s="23"/>
      <c r="G21" s="23"/>
    </row>
    <row r="22" spans="1:7" ht="16" x14ac:dyDescent="0.35">
      <c r="A22" s="333" t="s">
        <v>433</v>
      </c>
      <c r="B22" s="333"/>
      <c r="C22" s="121"/>
      <c r="D22" s="154" t="str">
        <f>IFERROR(ThreeYear_BPG_Total+IF(Other_Population="",0,ThreeYear_Other_BPG_Total),"")</f>
        <v/>
      </c>
      <c r="E22" s="23"/>
      <c r="F22" s="23"/>
      <c r="G22" s="23"/>
    </row>
    <row r="23" spans="1:7" ht="16" x14ac:dyDescent="0.35">
      <c r="A23" s="333" t="s">
        <v>429</v>
      </c>
      <c r="B23" s="333"/>
      <c r="C23" s="121"/>
      <c r="D23" s="154" t="str">
        <f>IFERROR(ThreeYear_BPG_Packs+IF(Other_Population="",0,ThreeYear_Other_BPG_Packs),"")</f>
        <v/>
      </c>
      <c r="E23" s="23"/>
      <c r="F23" s="23"/>
      <c r="G23" s="23"/>
    </row>
    <row r="24" spans="1:7" ht="16" x14ac:dyDescent="0.35">
      <c r="A24" s="334" t="s">
        <v>430</v>
      </c>
      <c r="B24" s="335"/>
      <c r="C24" s="157" t="str">
        <f>IF(Currency="USD","$","€")</f>
        <v>€</v>
      </c>
      <c r="D24" s="154" t="str">
        <f>IFERROR(BPG_Total_Budget,"")</f>
        <v/>
      </c>
      <c r="E24" s="23"/>
      <c r="F24" s="23"/>
      <c r="G24" s="23"/>
    </row>
    <row r="25" spans="1:7" ht="16" x14ac:dyDescent="0.35">
      <c r="A25" s="31"/>
      <c r="B25" s="31"/>
      <c r="C25" s="31"/>
      <c r="D25" s="148"/>
      <c r="E25" s="23"/>
      <c r="F25" s="23"/>
      <c r="G25" s="23"/>
    </row>
    <row r="26" spans="1:7" s="188" customFormat="1" ht="16" x14ac:dyDescent="0.35">
      <c r="A26" s="164" t="s">
        <v>95</v>
      </c>
      <c r="B26" s="190"/>
      <c r="C26" s="191"/>
      <c r="D26" s="192"/>
      <c r="E26" s="193"/>
      <c r="F26" s="193"/>
      <c r="G26" s="193"/>
    </row>
    <row r="27" spans="1:7" s="188" customFormat="1" ht="16" x14ac:dyDescent="0.35">
      <c r="A27" s="310" t="s">
        <v>433</v>
      </c>
      <c r="B27" s="311"/>
      <c r="C27" s="189"/>
      <c r="D27" s="154" t="str">
        <f>IFERROR(ThreeYear_TDF_Total+IF(HBV_Other_Population="",0,ThreeYear_Other_TDF_Total),"")</f>
        <v/>
      </c>
      <c r="E27" s="193"/>
      <c r="F27" s="193"/>
      <c r="G27" s="193"/>
    </row>
    <row r="28" spans="1:7" s="188" customFormat="1" ht="16" x14ac:dyDescent="0.35">
      <c r="A28" s="310" t="s">
        <v>429</v>
      </c>
      <c r="B28" s="311"/>
      <c r="C28" s="189"/>
      <c r="D28" s="154" t="str">
        <f>IFERROR(ThreeYear_TDF_Packs+IF(HBV_Other_Population="",0,ThreeYear_Other_TDF_Packs),"")</f>
        <v/>
      </c>
      <c r="E28" s="193"/>
      <c r="F28" s="193"/>
      <c r="G28" s="193"/>
    </row>
    <row r="29" spans="1:7" s="188" customFormat="1" ht="16" x14ac:dyDescent="0.35">
      <c r="A29" s="338" t="s">
        <v>430</v>
      </c>
      <c r="B29" s="339"/>
      <c r="C29" s="222" t="str">
        <f>IF(Currency="USD","$","€")</f>
        <v>€</v>
      </c>
      <c r="D29" s="154" t="str">
        <f>IFERROR(TDF_Total_Budget,"")</f>
        <v/>
      </c>
      <c r="E29" s="193"/>
      <c r="F29" s="193"/>
      <c r="G29" s="193"/>
    </row>
    <row r="30" spans="1:7" ht="16" x14ac:dyDescent="0.35">
      <c r="A30" s="31"/>
      <c r="B30" s="31"/>
      <c r="C30" s="31"/>
      <c r="D30" s="148"/>
      <c r="E30" s="23"/>
      <c r="F30" s="23"/>
      <c r="G30" s="23"/>
    </row>
    <row r="31" spans="1:7" ht="16" x14ac:dyDescent="0.35">
      <c r="A31" s="336" t="str">
        <f>"TOTAL GÉNÉRAL (3 ans) ("&amp;Currency&amp;")"</f>
        <v>TOTAL GÉNÉRAL (3 ans) ()</v>
      </c>
      <c r="B31" s="336"/>
      <c r="C31" s="151" t="str">
        <f>IF(Currency="USD","$","€")</f>
        <v>€</v>
      </c>
      <c r="D31" s="150" t="str">
        <f>IFERROR(Total_Budget,"")</f>
        <v/>
      </c>
      <c r="E31" s="23"/>
      <c r="F31" s="23"/>
      <c r="G31" s="23"/>
    </row>
    <row r="32" spans="1:7" ht="16" x14ac:dyDescent="0.35">
      <c r="A32" s="31"/>
      <c r="B32" s="43"/>
      <c r="C32" s="43"/>
      <c r="D32" s="23"/>
      <c r="E32" s="23"/>
      <c r="F32" s="23"/>
      <c r="G32" s="23"/>
    </row>
    <row r="33" spans="1:16" s="30" customFormat="1" ht="18.5" x14ac:dyDescent="0.45">
      <c r="A33" s="337" t="s">
        <v>434</v>
      </c>
      <c r="B33" s="337"/>
      <c r="C33" s="337"/>
      <c r="D33" s="337"/>
      <c r="E33" s="337"/>
      <c r="F33" s="337"/>
      <c r="G33" s="337"/>
      <c r="H33" s="337"/>
      <c r="I33" s="337"/>
      <c r="J33" s="337"/>
      <c r="K33" s="337"/>
      <c r="L33" s="337"/>
      <c r="M33" s="337"/>
      <c r="N33" s="337"/>
    </row>
    <row r="34" spans="1:16" x14ac:dyDescent="0.35">
      <c r="A34" s="23"/>
      <c r="B34" s="23"/>
      <c r="C34" s="23"/>
      <c r="D34" s="23"/>
      <c r="E34" s="23"/>
      <c r="F34" s="23"/>
      <c r="G34" s="23"/>
    </row>
    <row r="35" spans="1:16" s="25" customFormat="1" ht="29.15" customHeight="1" x14ac:dyDescent="0.35">
      <c r="A35" s="171"/>
      <c r="B35" s="178" t="s">
        <v>436</v>
      </c>
      <c r="C35" s="331" t="s">
        <v>437</v>
      </c>
      <c r="D35" s="332"/>
      <c r="E35" s="232" t="s">
        <v>438</v>
      </c>
      <c r="F35" s="232" t="s">
        <v>439</v>
      </c>
      <c r="G35" s="178" t="s">
        <v>440</v>
      </c>
      <c r="H35" s="178" t="s">
        <v>441</v>
      </c>
      <c r="I35" s="178" t="s">
        <v>442</v>
      </c>
      <c r="J35" s="178" t="s">
        <v>443</v>
      </c>
      <c r="K35" s="181" t="s">
        <v>444</v>
      </c>
      <c r="L35" s="181" t="s">
        <v>445</v>
      </c>
      <c r="M35" s="372" t="str">
        <f>"Budget total ("&amp;Currency&amp;")"</f>
        <v>Budget total ()</v>
      </c>
      <c r="N35" s="373"/>
      <c r="O35" s="171"/>
      <c r="P35" s="171"/>
    </row>
    <row r="36" spans="1:16" x14ac:dyDescent="0.35">
      <c r="A36" s="137" t="s">
        <v>296</v>
      </c>
      <c r="B36" s="33" t="str">
        <f>IFERROR(Y1_DualTests_Total+IF(Other_Population="",0,Y1_Other_DualTests_Total),"")</f>
        <v/>
      </c>
      <c r="C36" s="364" t="str">
        <f>IFERROR(Y1_DualTest_Packs+IF(Other_Population="",0,Y1_Other_DualTest_Packs),"")</f>
        <v/>
      </c>
      <c r="D36" s="365"/>
      <c r="E36" s="33" t="str">
        <f>IFERROR(Y1_HBsAgTests_Total+IF(HBV_Other_Population="",0,Y1_Other_HBsAgTests_Total),"")</f>
        <v/>
      </c>
      <c r="F36" s="33" t="str">
        <f>IFERROR(Y1_HBsAg_Packs+IF(HBV_Other_Population="",0,Y1_Other_HBsAg_Packs),"")</f>
        <v/>
      </c>
      <c r="G36" s="33" t="str">
        <f>IFERROR(Y1_TripleTests_Total+IF(Other_Population="",0,Y1_Other_TripleTests_Total),"")</f>
        <v/>
      </c>
      <c r="H36" s="33" t="str">
        <f>IFERROR(Y1_TripleTest_Packs+IF(Other_Population="",0,Y1_Other_TripleTest_Packs),"")</f>
        <v/>
      </c>
      <c r="I36" s="33" t="str">
        <f>IFERROR(Y1_BPG_Total+IF(Other_Population="",0,Y1_Other_BPG_Total),"")</f>
        <v/>
      </c>
      <c r="J36" s="33" t="str">
        <f>IFERROR(Y1_BPG_Packs+IF(Other_Population="",0,Y1_Other_BPG_Packs),"")</f>
        <v/>
      </c>
      <c r="K36" s="33" t="str">
        <f>IFERROR(Y1_TDF_Total+IF(HBV_Other_Population="",0,Other_Y1_TDF_Total),"")</f>
        <v/>
      </c>
      <c r="L36" s="33" t="str">
        <f>IFERROR(Y1_TDF_Packs+IF(HBV_Other_Population="",0,Y1_Other_TDF_Packs),"")</f>
        <v/>
      </c>
      <c r="M36" s="160" t="str">
        <f>IF(Currency="USD","$","€")</f>
        <v>€</v>
      </c>
      <c r="N36" s="159" t="str">
        <f>IFERROR((C36*DualTest_LandedCostPerPack)+(H36*TripleTest_LandedCostPerPack)+(J36*BPG_LandedCostPerPack)+(F36*HBsAg_LandedCostPerPack)+(L36*TDF_LandedCostPerPack),"")</f>
        <v/>
      </c>
      <c r="O36" s="23"/>
      <c r="P36" s="23"/>
    </row>
    <row r="37" spans="1:16" x14ac:dyDescent="0.35">
      <c r="A37" s="137" t="s">
        <v>297</v>
      </c>
      <c r="B37" s="33" t="str">
        <f>IFERROR(Y2_DualTests_Total+IF(Other_Population="",0,Y2_Other_DualTests_Total),"")</f>
        <v/>
      </c>
      <c r="C37" s="364" t="str">
        <f>IFERROR(Y2_DualTest_Packs+IF(Other_Population="",0,Y2_Other_DualTest_Packs),"")</f>
        <v/>
      </c>
      <c r="D37" s="365"/>
      <c r="E37" s="33" t="str">
        <f>IFERROR(Y2_HBsAgTests_Total+IF(HBV_Other_Population="",0,Y2_Other_HBsAgTests_Total),"")</f>
        <v/>
      </c>
      <c r="F37" s="33" t="str">
        <f>IFERROR(Y2_HBsAg_Packs+IF(HBV_Other_Population="",0,Y2_Other_HBsAg_Packs),"")</f>
        <v/>
      </c>
      <c r="G37" s="33" t="str">
        <f>IFERROR(Y2_TripleTests_Total+IF(Other_Population="",0,Y2_Other_TripleTests_Total),"")</f>
        <v/>
      </c>
      <c r="H37" s="33" t="str">
        <f>IFERROR(Y2_TripleTest_Packs+IF(Other_Population="",0,Y2_Other_TripleTest_Packs),"")</f>
        <v/>
      </c>
      <c r="I37" s="33" t="str">
        <f>IFERROR(Y2_BPG_Total+IF(Other_Population="",0,Y2_Other_BPG_Total),"")</f>
        <v/>
      </c>
      <c r="J37" s="33" t="str">
        <f>IFERROR(Y2_BPG_Packs+IF(Other_Population="",0,Y2_Other_BPG_Packs),"")</f>
        <v/>
      </c>
      <c r="K37" s="33" t="str">
        <f>IFERROR(Y2_TDF_Total+IF(HBV_Other_Population="",0,Other_Y2_TDF_Total),"")</f>
        <v/>
      </c>
      <c r="L37" s="33" t="str">
        <f>IFERROR(Y2_TDF_Packs+IF(HBV_Other_Population="",0,Y2_Other_TDF_Packs),"")</f>
        <v/>
      </c>
      <c r="M37" s="160" t="str">
        <f>IF(Currency="USD","$","€")</f>
        <v>€</v>
      </c>
      <c r="N37" s="159" t="str">
        <f>IFERROR((C37*DualTest_LandedCostPerPack)+(H37*TripleTest_LandedCostPerPack)+(J37*BPG_LandedCostPerPack)+(F37*HBsAg_LandedCostPerPack)+(L37*TDF_LandedCostPerPack),"")</f>
        <v/>
      </c>
      <c r="O37" s="23"/>
      <c r="P37" s="23"/>
    </row>
    <row r="38" spans="1:16" x14ac:dyDescent="0.35">
      <c r="A38" s="137" t="s">
        <v>298</v>
      </c>
      <c r="B38" s="33" t="str">
        <f>IFERROR(Y3_DualTests_Total+IF(Other_Population="",0,Y3_Other_DualTests_Total),"")</f>
        <v/>
      </c>
      <c r="C38" s="364" t="str">
        <f>IFERROR(Y3_DualTest_Packs+IF(Other_Population="",0,Y3_Other_DualTest_Packs),"")</f>
        <v/>
      </c>
      <c r="D38" s="365"/>
      <c r="E38" s="33" t="str">
        <f>IFERROR(Y3_HBsAgTests_Total+IF(HBV_Other_Population="",0,Y3_Other_HBsAgTests_Total),"")</f>
        <v/>
      </c>
      <c r="F38" s="33" t="str">
        <f>IFERROR(Y3_HBsAg_Packs+IF(HBV_Other_Population="",0,Y3_Other_HBsAg_Packs),"")</f>
        <v/>
      </c>
      <c r="G38" s="33" t="str">
        <f>IFERROR(Y3_TripleTests_Total+IF(Other_Population="",0,Y3_Other_TripleTests_Total),"")</f>
        <v/>
      </c>
      <c r="H38" s="33" t="str">
        <f>IFERROR(Y3_TripleTest_Packs+IF(Other_Population="",0,Y3_Other_TripleTest_Packs),"")</f>
        <v/>
      </c>
      <c r="I38" s="33" t="str">
        <f>IFERROR(Y3_BPG_Total+IF(Other_Population="",0,Y3_Other_BPG_Total),"")</f>
        <v/>
      </c>
      <c r="J38" s="33" t="str">
        <f>IFERROR(Y3_BPG_Packs+IF(Other_Population="",0,Y3_Other_BPG_Packs),"")</f>
        <v/>
      </c>
      <c r="K38" s="33" t="str">
        <f>IFERROR(Y3_TDF_Total+IF(HBV_Other_Population="",0,Other_Y3_TDF_Total),"")</f>
        <v/>
      </c>
      <c r="L38" s="33" t="str">
        <f>IFERROR(Y3_TDF_Packs+IF(HBV_Other_Population="",0,Y3_Other_TDF_Packs),"")</f>
        <v/>
      </c>
      <c r="M38" s="160" t="str">
        <f>IF(Currency="USD","$","€")</f>
        <v>€</v>
      </c>
      <c r="N38" s="159" t="str">
        <f>IFERROR((C38*DualTest_LandedCostPerPack)+(H38*TripleTest_LandedCostPerPack)+(J38*BPG_LandedCostPerPack)+(F38*HBsAg_LandedCostPerPack)+(L38*TDF_LandedCostPerPack),"")</f>
        <v/>
      </c>
      <c r="O38" s="23"/>
      <c r="P38" s="23"/>
    </row>
    <row r="39" spans="1:16" x14ac:dyDescent="0.35">
      <c r="A39" s="152" t="s">
        <v>435</v>
      </c>
      <c r="B39" s="153">
        <f>SUM(B36:B38)</f>
        <v>0</v>
      </c>
      <c r="C39" s="366">
        <f>SUM(C36:C38)</f>
        <v>0</v>
      </c>
      <c r="D39" s="367"/>
      <c r="E39" s="153">
        <f t="shared" ref="E39:F39" si="0">SUM(E36:E38)</f>
        <v>0</v>
      </c>
      <c r="F39" s="153">
        <f t="shared" si="0"/>
        <v>0</v>
      </c>
      <c r="G39" s="153">
        <f t="shared" ref="G39:K39" si="1">SUM(G36:G38)</f>
        <v>0</v>
      </c>
      <c r="H39" s="153">
        <f t="shared" si="1"/>
        <v>0</v>
      </c>
      <c r="I39" s="153">
        <f t="shared" si="1"/>
        <v>0</v>
      </c>
      <c r="J39" s="153">
        <f t="shared" si="1"/>
        <v>0</v>
      </c>
      <c r="K39" s="153">
        <f t="shared" si="1"/>
        <v>0</v>
      </c>
      <c r="L39" s="153">
        <f t="shared" ref="L39" si="2">SUM(L36:L38)</f>
        <v>0</v>
      </c>
      <c r="M39" s="161" t="str">
        <f>IF(Currency="USD","$","€")</f>
        <v>€</v>
      </c>
      <c r="N39" s="245">
        <f>SUM(N36:N38)</f>
        <v>0</v>
      </c>
      <c r="O39" s="23"/>
      <c r="P39" s="23"/>
    </row>
    <row r="40" spans="1:16" ht="16" x14ac:dyDescent="0.35">
      <c r="A40" s="31"/>
      <c r="B40" s="43"/>
      <c r="C40" s="43"/>
      <c r="D40" s="23"/>
      <c r="E40" s="23"/>
      <c r="F40" s="23"/>
      <c r="G40" s="23"/>
    </row>
    <row r="41" spans="1:16" ht="18.5" x14ac:dyDescent="0.35">
      <c r="A41" s="337" t="s">
        <v>446</v>
      </c>
      <c r="B41" s="337"/>
      <c r="C41" s="337"/>
      <c r="D41" s="337"/>
      <c r="E41" s="337"/>
      <c r="F41" s="337"/>
      <c r="G41" s="337"/>
      <c r="H41" s="337"/>
      <c r="I41" s="337"/>
      <c r="J41" s="337"/>
      <c r="K41" s="337"/>
      <c r="L41" s="337"/>
      <c r="M41" s="337"/>
      <c r="N41" s="337"/>
    </row>
    <row r="42" spans="1:16" ht="14.5" customHeight="1" x14ac:dyDescent="0.35">
      <c r="A42" s="371" t="s">
        <v>447</v>
      </c>
      <c r="B42" s="371"/>
      <c r="C42" s="371"/>
      <c r="D42" s="371"/>
      <c r="E42" s="371"/>
      <c r="F42" s="371"/>
      <c r="G42" s="371"/>
      <c r="H42" s="371"/>
      <c r="I42" s="371"/>
      <c r="J42" s="371"/>
      <c r="K42" s="371"/>
      <c r="L42" s="371"/>
      <c r="M42" s="371"/>
      <c r="N42" s="371"/>
    </row>
    <row r="43" spans="1:16" x14ac:dyDescent="0.35">
      <c r="A43" s="120"/>
      <c r="B43" s="120"/>
      <c r="C43" s="120"/>
      <c r="D43" s="120"/>
      <c r="E43" s="120"/>
      <c r="F43" s="120"/>
      <c r="G43" s="120"/>
      <c r="H43" s="120"/>
      <c r="I43" s="120"/>
    </row>
    <row r="44" spans="1:16" x14ac:dyDescent="0.35">
      <c r="A44" s="31"/>
      <c r="C44" s="346" t="s">
        <v>401</v>
      </c>
      <c r="D44" s="347"/>
      <c r="E44" s="59" t="s">
        <v>402</v>
      </c>
      <c r="F44" s="59" t="s">
        <v>403</v>
      </c>
      <c r="G44" s="23"/>
    </row>
    <row r="45" spans="1:16" x14ac:dyDescent="0.35">
      <c r="A45" s="333" t="s">
        <v>448</v>
      </c>
      <c r="B45" s="333"/>
      <c r="C45" s="348" t="str">
        <f>IF(GovtFinancing_Scenario1="", "—", GovtFinancing_Scenario1&amp;"%")</f>
        <v>—</v>
      </c>
      <c r="D45" s="349"/>
      <c r="E45" s="51" t="str">
        <f>IF(GovtFinancing_Scenario2="", "—", GovtFinancing_Scenario2&amp;"%")</f>
        <v>—</v>
      </c>
      <c r="F45" s="51" t="str">
        <f>IF(GovtFinancing_Scenario3="", "—", GovtFinancing_Scenario3&amp;"%")</f>
        <v>—</v>
      </c>
      <c r="G45" s="23"/>
    </row>
    <row r="46" spans="1:16" x14ac:dyDescent="0.35">
      <c r="A46" s="333" t="str">
        <f>"Contribution nationale ("&amp;Currency&amp;")"</f>
        <v>Contribution nationale ()</v>
      </c>
      <c r="B46" s="333"/>
      <c r="C46" s="350" t="str">
        <f>IF(GovtFinancing_Scenario1="", "—", GovtContribution_Scenario1)</f>
        <v>—</v>
      </c>
      <c r="D46" s="351"/>
      <c r="E46" s="64" t="str">
        <f>IF(GovtFinancing_Scenario2="", "—", GovtContribution_Scenario2)</f>
        <v>—</v>
      </c>
      <c r="F46" s="65" t="str">
        <f>IF(GovtFinancing_Scenario3="", "—", GovtContribution_Scenario3)</f>
        <v>—</v>
      </c>
      <c r="G46" s="23"/>
    </row>
    <row r="47" spans="1:16" x14ac:dyDescent="0.35">
      <c r="A47" s="333" t="str">
        <f>"Contribution du Fonds mondial ("&amp;Currency&amp;")"</f>
        <v>Contribution du Fonds mondial ()</v>
      </c>
      <c r="B47" s="333"/>
      <c r="C47" s="352" t="str">
        <f>IF(GovtFinancing_Scenario1="", "—", GF_Gap_Scenario1)</f>
        <v>—</v>
      </c>
      <c r="D47" s="353"/>
      <c r="E47" s="65" t="str">
        <f>IF(GovtFinancing_Scenario2="", "—", GF_Gap_Scenario2)</f>
        <v>—</v>
      </c>
      <c r="F47" s="65" t="str">
        <f>IF(GovtFinancing_Scenario3="", "—", GF_Gap_Scenario3)</f>
        <v>—</v>
      </c>
      <c r="G47" s="23"/>
    </row>
    <row r="49" spans="1:14" ht="18.5" x14ac:dyDescent="0.35">
      <c r="A49" s="337" t="s">
        <v>449</v>
      </c>
      <c r="B49" s="337"/>
      <c r="C49" s="337"/>
      <c r="D49" s="337"/>
      <c r="E49" s="337"/>
      <c r="F49" s="337"/>
      <c r="G49" s="337"/>
      <c r="H49" s="337"/>
      <c r="I49" s="337"/>
      <c r="J49" s="337"/>
      <c r="K49" s="337"/>
      <c r="L49" s="337"/>
      <c r="M49" s="337"/>
      <c r="N49" s="337"/>
    </row>
    <row r="50" spans="1:14" ht="27" customHeight="1" x14ac:dyDescent="0.35">
      <c r="A50" s="371" t="s">
        <v>450</v>
      </c>
      <c r="B50" s="371"/>
      <c r="C50" s="371"/>
      <c r="D50" s="371"/>
      <c r="E50" s="371"/>
      <c r="F50" s="371"/>
      <c r="G50" s="371"/>
      <c r="H50" s="371"/>
      <c r="I50" s="371"/>
      <c r="J50" s="371"/>
      <c r="K50" s="371"/>
      <c r="L50" s="371"/>
      <c r="M50" s="371"/>
      <c r="N50" s="371"/>
    </row>
    <row r="52" spans="1:14" x14ac:dyDescent="0.35">
      <c r="A52" s="164" t="s">
        <v>451</v>
      </c>
    </row>
    <row r="53" spans="1:14" ht="29.15" customHeight="1" x14ac:dyDescent="0.35">
      <c r="A53" s="158" t="s">
        <v>452</v>
      </c>
      <c r="B53" s="177" t="s">
        <v>453</v>
      </c>
      <c r="C53" s="370" t="str">
        <f>"Total sur 3 ans ("&amp;Currency&amp;")"</f>
        <v>Total sur 3 ans ()</v>
      </c>
      <c r="D53" s="370"/>
      <c r="E53" s="369"/>
      <c r="F53" s="369"/>
    </row>
    <row r="54" spans="1:14" x14ac:dyDescent="0.35">
      <c r="A54" s="13" t="s">
        <v>454</v>
      </c>
      <c r="B54" s="149" t="s">
        <v>455</v>
      </c>
      <c r="C54" s="186" t="str">
        <f>IF(Currency="USD","$","€")</f>
        <v>€</v>
      </c>
      <c r="D54" s="262"/>
    </row>
    <row r="55" spans="1:14" x14ac:dyDescent="0.35">
      <c r="A55" s="13" t="s">
        <v>454</v>
      </c>
      <c r="B55" s="149" t="s">
        <v>456</v>
      </c>
      <c r="C55" s="186" t="str">
        <f>IF(Currency="USD","$","€")</f>
        <v>€</v>
      </c>
      <c r="D55" s="262"/>
    </row>
    <row r="56" spans="1:14" x14ac:dyDescent="0.35">
      <c r="A56" s="173" t="s">
        <v>457</v>
      </c>
      <c r="B56" s="146"/>
      <c r="C56" s="173" t="str">
        <f>IF(Currency="USD","$","€")</f>
        <v>€</v>
      </c>
      <c r="D56" s="182">
        <f>SUM(D54:D55)</f>
        <v>0</v>
      </c>
    </row>
    <row r="58" spans="1:14" x14ac:dyDescent="0.35">
      <c r="A58" s="13" t="s">
        <v>472</v>
      </c>
      <c r="B58" s="149" t="s">
        <v>455</v>
      </c>
      <c r="C58" s="186" t="str">
        <f>IF(Currency="USD","$","€")</f>
        <v>€</v>
      </c>
      <c r="D58" s="262"/>
    </row>
    <row r="59" spans="1:14" x14ac:dyDescent="0.35">
      <c r="A59" s="13" t="s">
        <v>472</v>
      </c>
      <c r="B59" s="149" t="s">
        <v>456</v>
      </c>
      <c r="C59" s="186" t="str">
        <f>IF(Currency="USD","$","€")</f>
        <v>€</v>
      </c>
      <c r="D59" s="262"/>
    </row>
    <row r="60" spans="1:14" x14ac:dyDescent="0.35">
      <c r="A60" s="173" t="s">
        <v>458</v>
      </c>
      <c r="B60" s="146"/>
      <c r="C60" s="173" t="str">
        <f>IF(Currency="USD","$","€")</f>
        <v>€</v>
      </c>
      <c r="D60" s="182">
        <f>SUM(D58:D59)</f>
        <v>0</v>
      </c>
    </row>
    <row r="62" spans="1:14" ht="29" x14ac:dyDescent="0.35">
      <c r="A62" s="172" t="s">
        <v>459</v>
      </c>
      <c r="B62" s="149" t="s">
        <v>455</v>
      </c>
      <c r="C62" s="186" t="str">
        <f>IF(Currency="USD","$","€")</f>
        <v>€</v>
      </c>
      <c r="D62" s="262"/>
    </row>
    <row r="63" spans="1:14" ht="29" x14ac:dyDescent="0.35">
      <c r="A63" s="172" t="s">
        <v>459</v>
      </c>
      <c r="B63" s="149" t="s">
        <v>456</v>
      </c>
      <c r="C63" s="186" t="str">
        <f>IF(Currency="USD","$","€")</f>
        <v>€</v>
      </c>
      <c r="D63" s="262"/>
    </row>
    <row r="64" spans="1:14" x14ac:dyDescent="0.35">
      <c r="A64" s="173" t="s">
        <v>460</v>
      </c>
      <c r="B64" s="146"/>
      <c r="C64" s="173" t="str">
        <f>IF(Currency="USD","$","€")</f>
        <v>€</v>
      </c>
      <c r="D64" s="182">
        <f>SUM(D62:D63)</f>
        <v>0</v>
      </c>
    </row>
    <row r="65" spans="1:13" x14ac:dyDescent="0.35">
      <c r="D65" s="140"/>
    </row>
    <row r="66" spans="1:13" ht="29" x14ac:dyDescent="0.35">
      <c r="A66" s="172" t="s">
        <v>461</v>
      </c>
      <c r="B66" s="149" t="s">
        <v>455</v>
      </c>
      <c r="C66" s="186" t="str">
        <f>IF(Currency="USD","$","€")</f>
        <v>€</v>
      </c>
      <c r="D66" s="262"/>
    </row>
    <row r="67" spans="1:13" ht="29" x14ac:dyDescent="0.35">
      <c r="A67" s="172" t="s">
        <v>461</v>
      </c>
      <c r="B67" s="149" t="s">
        <v>456</v>
      </c>
      <c r="C67" s="186" t="str">
        <f>IF(Currency="USD","$","€")</f>
        <v>€</v>
      </c>
      <c r="D67" s="262"/>
    </row>
    <row r="68" spans="1:13" x14ac:dyDescent="0.35">
      <c r="A68" s="173" t="s">
        <v>462</v>
      </c>
      <c r="B68" s="146"/>
      <c r="C68" s="173" t="str">
        <f>IF(Currency="USD","$","€")</f>
        <v>€</v>
      </c>
      <c r="D68" s="182">
        <f>SUM(D66:D67)</f>
        <v>0</v>
      </c>
    </row>
    <row r="69" spans="1:13" x14ac:dyDescent="0.35">
      <c r="D69" s="140"/>
    </row>
    <row r="70" spans="1:13" x14ac:dyDescent="0.35">
      <c r="A70" s="363" t="str">
        <f>"Financement total sur 3 ans ("&amp;Currency&amp;")"</f>
        <v>Financement total sur 3 ans ()</v>
      </c>
      <c r="B70" s="363"/>
      <c r="C70" s="174" t="str">
        <f>IF(Currency="USD","$","€")</f>
        <v>€</v>
      </c>
      <c r="D70" s="175">
        <f>Funding_DualTest_Total_3Y+Funding_TripleTest_Total_3Y+Funding_BPG_ANC_Total_3Y+Funding_BPG_Other_Total_3Y</f>
        <v>0</v>
      </c>
    </row>
    <row r="72" spans="1:13" x14ac:dyDescent="0.35">
      <c r="A72" s="164" t="s">
        <v>463</v>
      </c>
    </row>
    <row r="73" spans="1:13" ht="62.5" customHeight="1" x14ac:dyDescent="0.35">
      <c r="A73" s="177" t="s">
        <v>452</v>
      </c>
      <c r="B73" s="177" t="s">
        <v>464</v>
      </c>
      <c r="C73" s="368" t="s">
        <v>465</v>
      </c>
      <c r="D73" s="368"/>
      <c r="E73" s="178" t="s">
        <v>466</v>
      </c>
      <c r="F73" s="177" t="s">
        <v>467</v>
      </c>
      <c r="G73" s="177" t="s">
        <v>468</v>
      </c>
      <c r="H73" s="178" t="s">
        <v>469</v>
      </c>
      <c r="I73" s="177" t="s">
        <v>470</v>
      </c>
      <c r="J73" s="223" t="s">
        <v>471</v>
      </c>
    </row>
    <row r="74" spans="1:13" x14ac:dyDescent="0.35">
      <c r="A74" s="13" t="s">
        <v>454</v>
      </c>
      <c r="B74" s="180" t="str">
        <f>IFERROR(ThreeYear_DualTest_Packs+IF(Other_Population="",0,ThreeYear_Other_DualTest_Packs),"")</f>
        <v/>
      </c>
      <c r="C74" s="149" t="str">
        <f>IF(Currency="USD","$","€")</f>
        <v>€</v>
      </c>
      <c r="D74" s="179">
        <f>IFERROR(Funding_DualTest_Total_3Y,"")</f>
        <v>0</v>
      </c>
      <c r="E74" s="14" t="str">
        <f>IFERROR(IF(D74=0,"",FLOOR(D74/DualTest_LandedCostPerPack,1)),"")</f>
        <v/>
      </c>
      <c r="F74" s="14" t="str">
        <f>IF(E74="","",MAX(0,B74-E74))</f>
        <v/>
      </c>
      <c r="G74" s="14" t="str">
        <f>IF(E74="","",FLOOR(E74*DualTest_PackSize/Tests_Per_Pregnancy,1))</f>
        <v/>
      </c>
      <c r="H74" s="14" t="str">
        <f>IFERROR(FLOOR((ThreeYear_DualTests_Total+IF(Other_Population="",0,ThreeYear_Other_DualTests_Total))/Tests_Per_Pregnancy,1),"")</f>
        <v/>
      </c>
      <c r="I74" s="180" t="str">
        <f>IF(G74="","",MAX(0,H74-G74))</f>
        <v/>
      </c>
      <c r="J74" s="224" t="str">
        <f>IF(OR(G74="",H74=0),"",I74/H74)</f>
        <v/>
      </c>
    </row>
    <row r="75" spans="1:13" x14ac:dyDescent="0.35">
      <c r="A75" s="13" t="s">
        <v>472</v>
      </c>
      <c r="B75" s="180" t="str">
        <f>IFERROR(ThreeYear_TripleTest_Packs+IF(Other_Population="",0,ThreeYear_Other_TripleTest_Packs),"")</f>
        <v/>
      </c>
      <c r="C75" s="149" t="str">
        <f>IF(Currency="USD","$","€")</f>
        <v>€</v>
      </c>
      <c r="D75" s="179">
        <f>IFERROR(Funding_TripleTest_Total_3Y,"")</f>
        <v>0</v>
      </c>
      <c r="E75" s="14" t="str">
        <f>IFERROR(IF(D75=0,"",FLOOR(D75/TripleTest_LandedCostPerPack,1)),"")</f>
        <v/>
      </c>
      <c r="F75" s="14" t="str">
        <f>IF(E75="","",MAX(0,B75-E75))</f>
        <v/>
      </c>
      <c r="G75" s="14" t="str">
        <f>IF(E75="","",FLOOR(E75*TripleTest_PackSize/Tests_Per_Pregnancy,1))</f>
        <v/>
      </c>
      <c r="H75" s="14" t="str">
        <f>IFERROR(FLOOR((ThreeYear_TripleTests_Total+IF(Other_Population="",0,ThreeYear_Other_TripleTests_Total))/Tests_Per_Pregnancy,1),"")</f>
        <v/>
      </c>
      <c r="I75" s="180" t="str">
        <f>IF(G75="","",MAX(0,H75-G75))</f>
        <v/>
      </c>
      <c r="J75" s="224" t="str">
        <f>IF(OR(G75="",H75=0),"",I75/H75)</f>
        <v/>
      </c>
    </row>
    <row r="76" spans="1:13" ht="29" x14ac:dyDescent="0.35">
      <c r="A76" s="172" t="s">
        <v>459</v>
      </c>
      <c r="B76" s="180" t="str">
        <f>IFERROR(ThreeYear_BPG_Packs,"")</f>
        <v/>
      </c>
      <c r="C76" s="149" t="str">
        <f>IF(Currency="USD","$","€")</f>
        <v>€</v>
      </c>
      <c r="D76" s="179">
        <f>IFERROR(Funding_BPG_ANC_Total_3Y,"")</f>
        <v>0</v>
      </c>
      <c r="E76" s="14" t="str">
        <f>IFERROR(IF(D76=0,"",FLOOR(D76/BPG_LandedCostPerPack,1)),"")</f>
        <v/>
      </c>
      <c r="F76" s="13" t="str">
        <f>IF(E76="","",MAX(0,B76-E76))</f>
        <v/>
      </c>
      <c r="G76" s="14" t="str">
        <f>IF(E76="","",FLOOR(E76*BPG_PackSize*(Syphilis_Prevalence/100),1))</f>
        <v/>
      </c>
      <c r="H76" s="14" t="str">
        <f>IFERROR(FLOOR(ThreeYear_BPG_Total*(Syphilis_Prevalence/100),1),"")</f>
        <v/>
      </c>
      <c r="I76" s="180" t="str">
        <f>IF(G76="","",MAX(0,H76-G76))</f>
        <v/>
      </c>
      <c r="J76" s="224" t="str">
        <f>IF(OR(G76="",H76=0),"",I76/H76)</f>
        <v/>
      </c>
    </row>
    <row r="77" spans="1:13" ht="29" x14ac:dyDescent="0.35">
      <c r="A77" s="172" t="s">
        <v>461</v>
      </c>
      <c r="B77" s="180" t="str">
        <f>IF(Other_Population="","N/A",ThreeYear_Other_BPG_Packs)</f>
        <v>N/A</v>
      </c>
      <c r="C77" s="149" t="str">
        <f>IF(Currency="USD","$","€")</f>
        <v>€</v>
      </c>
      <c r="D77" s="179" t="str">
        <f>IF(Other_Population="","N/A",Funding_BPG_Other_Total_3Y)</f>
        <v>N/A</v>
      </c>
      <c r="E77" s="14" t="str">
        <f>IF(OR(Other_Population="",D77="N/A",D77=0),"",FLOOR(D77/BPG_LandedCostPerPack,1))</f>
        <v/>
      </c>
      <c r="F77" s="13" t="str">
        <f>IF(OR(E77="",B77="N/A"),"",MAX(0,B77-E77))</f>
        <v/>
      </c>
      <c r="G77" s="14" t="str">
        <f>IF(E77="","",IF(Other_Population="","N/A",FLOOR(E77*BPG_PackSize*(Syphilis_Prevalence/100),1)))</f>
        <v/>
      </c>
      <c r="H77" s="14" t="str">
        <f>IF(Other_Population="","N/A",FLOOR(ThreeYear_Other_BPG_Total*(Syphilis_Prevalence/100),1))</f>
        <v>N/A</v>
      </c>
      <c r="I77" s="180" t="str">
        <f>IF(OR(G77="",G77="N/A"),"",MAX(0,H77-G77))</f>
        <v/>
      </c>
      <c r="J77" s="224" t="str">
        <f>IF(OR(I77="",H77=0,H77="N/A"),"",I77/H77)</f>
        <v/>
      </c>
    </row>
    <row r="79" spans="1:13" x14ac:dyDescent="0.35">
      <c r="A79" s="164" t="s">
        <v>473</v>
      </c>
    </row>
    <row r="80" spans="1:13" ht="36" customHeight="1" x14ac:dyDescent="0.35">
      <c r="A80" s="360" t="s">
        <v>474</v>
      </c>
      <c r="B80" s="360"/>
      <c r="C80" s="360"/>
      <c r="D80" s="360"/>
      <c r="E80" s="360"/>
      <c r="F80" s="360"/>
      <c r="G80" s="360"/>
      <c r="H80" s="360"/>
      <c r="I80" s="360"/>
      <c r="J80" s="360"/>
      <c r="K80" s="360"/>
      <c r="L80" s="360"/>
      <c r="M80" s="360"/>
    </row>
    <row r="82" spans="1:8" ht="59.5" customHeight="1" x14ac:dyDescent="0.35">
      <c r="A82" s="181" t="s">
        <v>475</v>
      </c>
      <c r="B82" s="181" t="s">
        <v>476</v>
      </c>
      <c r="C82" s="358" t="s">
        <v>477</v>
      </c>
      <c r="D82" s="359"/>
      <c r="E82" s="361" t="s">
        <v>478</v>
      </c>
      <c r="F82" s="362"/>
      <c r="G82" s="362"/>
      <c r="H82" s="362"/>
    </row>
    <row r="83" spans="1:8" ht="29.15" customHeight="1" x14ac:dyDescent="0.35">
      <c r="A83" s="183" t="s">
        <v>479</v>
      </c>
      <c r="B83" s="184" t="str">
        <f>IFERROR(IF(ThreeYear_BPG_Total=0,"",FLOOR(ThreeYear_BPG_Total*(C96/100)*(C97/100),1)),"")</f>
        <v/>
      </c>
      <c r="C83" s="343" t="str">
        <f>IF(G76="","",FLOOR(G76*(C96/100)*(C97/100),1))</f>
        <v/>
      </c>
      <c r="D83" s="344"/>
      <c r="E83" s="340" t="s">
        <v>487</v>
      </c>
      <c r="F83" s="340"/>
      <c r="G83" s="340"/>
      <c r="H83" s="340"/>
    </row>
    <row r="84" spans="1:8" ht="45.65" customHeight="1" x14ac:dyDescent="0.35">
      <c r="A84" s="185" t="s">
        <v>480</v>
      </c>
      <c r="B84" s="184" t="str">
        <f>IFERROR(IF(ThreeYear_BPG_Total=0,"",FLOOR(ThreeYear_BPG_Total*(1-C96/100)*(C98/100)*(C99/100),1)),"")</f>
        <v/>
      </c>
      <c r="C84" s="343" t="str">
        <f>IF(G76="","",FLOOR(G76*(1-C96/100)*(C98/100)*(C99/100),1))</f>
        <v/>
      </c>
      <c r="D84" s="344"/>
      <c r="E84" s="340" t="s">
        <v>488</v>
      </c>
      <c r="F84" s="340"/>
      <c r="G84" s="340"/>
      <c r="H84" s="340"/>
    </row>
    <row r="85" spans="1:8" ht="43" customHeight="1" x14ac:dyDescent="0.35">
      <c r="A85" s="185" t="s">
        <v>481</v>
      </c>
      <c r="B85" s="184" t="str">
        <f>IFERROR(IF(ThreeYear_BPG_Total=0,"",FLOOR(ThreeYear_BPG_Total*(1-C96/100)*(C100/100)*(C101/100),1)),"")</f>
        <v/>
      </c>
      <c r="C85" s="343" t="str">
        <f>IF(G76="","",FLOOR(G76*(1-C96/100)*(C100/100)*(C101/100),1))</f>
        <v/>
      </c>
      <c r="D85" s="344"/>
      <c r="E85" s="340" t="s">
        <v>489</v>
      </c>
      <c r="F85" s="340"/>
      <c r="G85" s="340"/>
      <c r="H85" s="340"/>
    </row>
    <row r="86" spans="1:8" ht="43.5" customHeight="1" x14ac:dyDescent="0.35">
      <c r="A86" s="185" t="s">
        <v>482</v>
      </c>
      <c r="B86" s="184" t="str">
        <f>IFERROR(IF(ThreeYear_BPG_Total=0,"",FLOOR(ThreeYear_BPG_Total*(1-C96/100)*(C102/100)*(C103/100),1)),"")</f>
        <v/>
      </c>
      <c r="C86" s="343" t="str">
        <f>IF(G76="","",FLOOR(G76*(1-C96/100)*(C102/100)*(C103/100),1))</f>
        <v/>
      </c>
      <c r="D86" s="344"/>
      <c r="E86" s="340" t="s">
        <v>490</v>
      </c>
      <c r="F86" s="340"/>
      <c r="G86" s="340"/>
      <c r="H86" s="340"/>
    </row>
    <row r="87" spans="1:8" ht="29.15" customHeight="1" x14ac:dyDescent="0.35">
      <c r="A87" s="172" t="s">
        <v>483</v>
      </c>
      <c r="B87" s="14" t="str">
        <f>IF(B84="","",FLOOR(B84*C107,1))</f>
        <v/>
      </c>
      <c r="C87" s="356" t="str">
        <f>IF(C84="","",FLOOR(C84*C107,1))</f>
        <v/>
      </c>
      <c r="D87" s="357"/>
      <c r="E87" s="340" t="s">
        <v>491</v>
      </c>
      <c r="F87" s="340"/>
      <c r="G87" s="340"/>
      <c r="H87" s="340"/>
    </row>
    <row r="88" spans="1:8" ht="58" customHeight="1" x14ac:dyDescent="0.35">
      <c r="A88" s="172" t="s">
        <v>484</v>
      </c>
      <c r="B88" s="14" t="str">
        <f>IF(B85="","",FLOOR(B85*C104*20,1))</f>
        <v/>
      </c>
      <c r="C88" s="356" t="str">
        <f>IF(C85="","",FLOOR(C85*C104*20,1))</f>
        <v/>
      </c>
      <c r="D88" s="357"/>
      <c r="E88" s="340" t="s">
        <v>492</v>
      </c>
      <c r="F88" s="340"/>
      <c r="G88" s="340"/>
      <c r="H88" s="340"/>
    </row>
    <row r="89" spans="1:8" ht="43.5" customHeight="1" x14ac:dyDescent="0.35">
      <c r="A89" s="172" t="s">
        <v>485</v>
      </c>
      <c r="B89" s="14" t="str">
        <f>IF(OR(Other_Population="",ThreeYear_Other_BPG_Total=0),"",FLOOR(ThreeYear_Other_BPG_Total*C106*5,1))</f>
        <v/>
      </c>
      <c r="C89" s="356" t="str">
        <f>IF(OR(G77="",G77="N/A",Other_Population=""),"",FLOOR(G77*C106*5,1))</f>
        <v/>
      </c>
      <c r="D89" s="357"/>
      <c r="E89" s="340" t="s">
        <v>493</v>
      </c>
      <c r="F89" s="340"/>
      <c r="G89" s="340"/>
      <c r="H89" s="340"/>
    </row>
    <row r="90" spans="1:8" ht="47.5" customHeight="1" x14ac:dyDescent="0.35">
      <c r="A90" s="185" t="s">
        <v>486</v>
      </c>
      <c r="B90" s="184" t="str">
        <f>IF(OR(B87="",B88=""),"",B87+B88+IF(OR(B89="",B89="N/A"),0,B89))</f>
        <v/>
      </c>
      <c r="C90" s="343" t="str">
        <f>IF(OR(C87="",C88=""),"",C87+C88+IF(OR(C89="",C89="N/A"),0,C89))</f>
        <v/>
      </c>
      <c r="D90" s="344"/>
      <c r="E90" s="340" t="s">
        <v>494</v>
      </c>
      <c r="F90" s="340"/>
      <c r="G90" s="340"/>
      <c r="H90" s="340"/>
    </row>
    <row r="92" spans="1:8" x14ac:dyDescent="0.35">
      <c r="A92" s="164" t="s">
        <v>495</v>
      </c>
    </row>
    <row r="93" spans="1:8" x14ac:dyDescent="0.35">
      <c r="A93" s="176" t="s">
        <v>496</v>
      </c>
    </row>
    <row r="95" spans="1:8" x14ac:dyDescent="0.35">
      <c r="A95" s="354" t="s">
        <v>497</v>
      </c>
      <c r="B95" s="355"/>
      <c r="C95" s="318" t="s">
        <v>498</v>
      </c>
      <c r="D95" s="318"/>
    </row>
    <row r="96" spans="1:8" ht="29.15" customHeight="1" x14ac:dyDescent="0.35">
      <c r="A96" s="340" t="s">
        <v>499</v>
      </c>
      <c r="B96" s="340"/>
      <c r="C96" s="342">
        <v>25</v>
      </c>
      <c r="D96" s="342"/>
      <c r="E96" s="6" t="s">
        <v>512</v>
      </c>
    </row>
    <row r="97" spans="1:5" ht="32.5" customHeight="1" x14ac:dyDescent="0.35">
      <c r="A97" s="340" t="s">
        <v>500</v>
      </c>
      <c r="B97" s="340"/>
      <c r="C97" s="342">
        <v>82</v>
      </c>
      <c r="D97" s="342"/>
      <c r="E97" s="6" t="s">
        <v>512</v>
      </c>
    </row>
    <row r="98" spans="1:5" ht="45.65" customHeight="1" x14ac:dyDescent="0.35">
      <c r="A98" s="340" t="s">
        <v>501</v>
      </c>
      <c r="B98" s="340"/>
      <c r="C98" s="342">
        <v>15</v>
      </c>
      <c r="D98" s="342"/>
      <c r="E98" s="6" t="s">
        <v>512</v>
      </c>
    </row>
    <row r="99" spans="1:5" ht="30.65" customHeight="1" x14ac:dyDescent="0.35">
      <c r="A99" s="340" t="s">
        <v>502</v>
      </c>
      <c r="B99" s="340"/>
      <c r="C99" s="342">
        <v>80</v>
      </c>
      <c r="D99" s="342"/>
      <c r="E99" s="6" t="s">
        <v>512</v>
      </c>
    </row>
    <row r="100" spans="1:5" ht="29.15" customHeight="1" x14ac:dyDescent="0.35">
      <c r="A100" s="340" t="s">
        <v>503</v>
      </c>
      <c r="B100" s="340"/>
      <c r="C100" s="342">
        <v>31</v>
      </c>
      <c r="D100" s="342"/>
      <c r="E100" s="6" t="s">
        <v>512</v>
      </c>
    </row>
    <row r="101" spans="1:5" ht="27.65" customHeight="1" x14ac:dyDescent="0.35">
      <c r="A101" s="340" t="s">
        <v>504</v>
      </c>
      <c r="B101" s="340"/>
      <c r="C101" s="342">
        <v>97</v>
      </c>
      <c r="D101" s="342"/>
      <c r="E101" s="6" t="s">
        <v>512</v>
      </c>
    </row>
    <row r="102" spans="1:5" ht="29.15" customHeight="1" x14ac:dyDescent="0.35">
      <c r="A102" s="340" t="s">
        <v>505</v>
      </c>
      <c r="B102" s="340"/>
      <c r="C102" s="342">
        <v>35</v>
      </c>
      <c r="D102" s="342"/>
      <c r="E102" s="6" t="s">
        <v>512</v>
      </c>
    </row>
    <row r="103" spans="1:5" ht="29.5" customHeight="1" x14ac:dyDescent="0.35">
      <c r="A103" s="340" t="s">
        <v>506</v>
      </c>
      <c r="B103" s="340"/>
      <c r="C103" s="342">
        <v>64</v>
      </c>
      <c r="D103" s="342"/>
      <c r="E103" s="6" t="s">
        <v>512</v>
      </c>
    </row>
    <row r="104" spans="1:5" ht="29.15" customHeight="1" x14ac:dyDescent="0.35">
      <c r="A104" s="340" t="s">
        <v>507</v>
      </c>
      <c r="B104" s="340"/>
      <c r="C104" s="345">
        <v>0.20300000000000001</v>
      </c>
      <c r="D104" s="345"/>
      <c r="E104" s="6" t="s">
        <v>513</v>
      </c>
    </row>
    <row r="105" spans="1:5" ht="28" customHeight="1" x14ac:dyDescent="0.35">
      <c r="A105" s="340" t="s">
        <v>508</v>
      </c>
      <c r="B105" s="340"/>
      <c r="C105" s="345">
        <v>6.0000000000000001E-3</v>
      </c>
      <c r="D105" s="345"/>
      <c r="E105" s="6" t="s">
        <v>514</v>
      </c>
    </row>
    <row r="106" spans="1:5" ht="28.5" customHeight="1" x14ac:dyDescent="0.35">
      <c r="A106" s="340" t="s">
        <v>509</v>
      </c>
      <c r="B106" s="340"/>
      <c r="C106" s="345">
        <v>0.52300000000000002</v>
      </c>
      <c r="D106" s="345"/>
      <c r="E106" s="6" t="s">
        <v>515</v>
      </c>
    </row>
    <row r="107" spans="1:5" ht="27.65" customHeight="1" x14ac:dyDescent="0.35">
      <c r="A107" s="340" t="s">
        <v>510</v>
      </c>
      <c r="B107" s="340"/>
      <c r="C107" s="341">
        <v>23.89</v>
      </c>
      <c r="D107" s="341"/>
      <c r="E107" s="6" t="s">
        <v>516</v>
      </c>
    </row>
    <row r="108" spans="1:5" ht="29.5" customHeight="1" x14ac:dyDescent="0.35">
      <c r="A108" s="340" t="s">
        <v>511</v>
      </c>
      <c r="B108" s="340"/>
      <c r="C108" s="341">
        <v>0.95</v>
      </c>
      <c r="D108" s="341"/>
      <c r="E108" s="6" t="s">
        <v>517</v>
      </c>
    </row>
  </sheetData>
  <sheetProtection sheet="1" formatColumns="0" formatRows="0" selectLockedCells="1"/>
  <mergeCells count="87">
    <mergeCell ref="E53:F53"/>
    <mergeCell ref="C53:D53"/>
    <mergeCell ref="A28:B28"/>
    <mergeCell ref="A29:B29"/>
    <mergeCell ref="A24:B24"/>
    <mergeCell ref="A27:B27"/>
    <mergeCell ref="A49:N49"/>
    <mergeCell ref="A50:N50"/>
    <mergeCell ref="A33:N33"/>
    <mergeCell ref="A41:N41"/>
    <mergeCell ref="A42:N42"/>
    <mergeCell ref="C36:D36"/>
    <mergeCell ref="C37:D37"/>
    <mergeCell ref="M35:N35"/>
    <mergeCell ref="A70:B70"/>
    <mergeCell ref="C38:D38"/>
    <mergeCell ref="C39:D39"/>
    <mergeCell ref="A107:B107"/>
    <mergeCell ref="C107:D107"/>
    <mergeCell ref="C73:D73"/>
    <mergeCell ref="A103:B103"/>
    <mergeCell ref="C103:D103"/>
    <mergeCell ref="A104:B104"/>
    <mergeCell ref="C104:D104"/>
    <mergeCell ref="A105:B105"/>
    <mergeCell ref="C105:D105"/>
    <mergeCell ref="A100:B100"/>
    <mergeCell ref="C100:D100"/>
    <mergeCell ref="A101:B101"/>
    <mergeCell ref="C101:D101"/>
    <mergeCell ref="A102:B102"/>
    <mergeCell ref="A80:M80"/>
    <mergeCell ref="A98:B98"/>
    <mergeCell ref="C98:D98"/>
    <mergeCell ref="A99:B99"/>
    <mergeCell ref="C99:D99"/>
    <mergeCell ref="E82:H82"/>
    <mergeCell ref="E88:H88"/>
    <mergeCell ref="E89:H89"/>
    <mergeCell ref="E90:H90"/>
    <mergeCell ref="A106:B106"/>
    <mergeCell ref="C106:D106"/>
    <mergeCell ref="C44:D44"/>
    <mergeCell ref="C45:D45"/>
    <mergeCell ref="C46:D46"/>
    <mergeCell ref="C47:D47"/>
    <mergeCell ref="A45:B45"/>
    <mergeCell ref="A46:B46"/>
    <mergeCell ref="A47:B47"/>
    <mergeCell ref="A95:B95"/>
    <mergeCell ref="A96:B96"/>
    <mergeCell ref="C87:D87"/>
    <mergeCell ref="C88:D88"/>
    <mergeCell ref="C89:D89"/>
    <mergeCell ref="C90:D90"/>
    <mergeCell ref="C82:D82"/>
    <mergeCell ref="A108:B108"/>
    <mergeCell ref="C108:D108"/>
    <mergeCell ref="E83:H83"/>
    <mergeCell ref="E84:H84"/>
    <mergeCell ref="E85:H85"/>
    <mergeCell ref="E86:H86"/>
    <mergeCell ref="E87:H87"/>
    <mergeCell ref="C95:D95"/>
    <mergeCell ref="C96:D96"/>
    <mergeCell ref="C83:D83"/>
    <mergeCell ref="C84:D84"/>
    <mergeCell ref="C85:D85"/>
    <mergeCell ref="C86:D86"/>
    <mergeCell ref="C102:D102"/>
    <mergeCell ref="A97:B97"/>
    <mergeCell ref="C97:D97"/>
    <mergeCell ref="A1:N1"/>
    <mergeCell ref="C35:D35"/>
    <mergeCell ref="A23:B23"/>
    <mergeCell ref="A9:B9"/>
    <mergeCell ref="A14:B14"/>
    <mergeCell ref="A31:B31"/>
    <mergeCell ref="A4:N4"/>
    <mergeCell ref="A7:B7"/>
    <mergeCell ref="A22:B22"/>
    <mergeCell ref="A12:B12"/>
    <mergeCell ref="A17:B17"/>
    <mergeCell ref="A18:B18"/>
    <mergeCell ref="A19:B19"/>
    <mergeCell ref="A8:B8"/>
    <mergeCell ref="A13:B13"/>
  </mergeCells>
  <conditionalFormatting sqref="J74:J77">
    <cfRule type="cellIs" dxfId="5" priority="1" operator="greaterThanOrEqual">
      <formula>0.75</formula>
    </cfRule>
    <cfRule type="cellIs" dxfId="4" priority="2" operator="between">
      <formula>0.51</formula>
      <formula>0.74</formula>
    </cfRule>
    <cfRule type="cellIs" dxfId="3" priority="3" operator="between">
      <formula>0.26</formula>
      <formula>0.5</formula>
    </cfRule>
    <cfRule type="cellIs" dxfId="2" priority="4" operator="between">
      <formula>0.11</formula>
      <formula>0.25</formula>
    </cfRule>
    <cfRule type="cellIs" dxfId="1" priority="5" operator="between">
      <formula>0.01</formula>
      <formula>0.1</formula>
    </cfRule>
    <cfRule type="cellIs" dxfId="0" priority="6" operator="equal">
      <formula>0</formula>
    </cfRule>
  </conditionalFormatting>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B4CD9-C044-4AEC-BFEC-6AAD79A6AE8F}">
  <sheetPr>
    <tabColor rgb="FF002060"/>
  </sheetPr>
  <dimension ref="A1:N542"/>
  <sheetViews>
    <sheetView showGridLines="0" topLeftCell="A135" zoomScaleNormal="100" workbookViewId="0">
      <selection activeCell="H28" sqref="H28"/>
    </sheetView>
  </sheetViews>
  <sheetFormatPr defaultRowHeight="14.5" x14ac:dyDescent="0.35"/>
  <cols>
    <col min="1" max="1" width="22.26953125" customWidth="1"/>
    <col min="3" max="3" width="14.1796875" customWidth="1"/>
    <col min="4" max="4" width="11.1796875" customWidth="1"/>
    <col min="5" max="5" width="11" customWidth="1"/>
    <col min="6" max="6" width="11.453125" customWidth="1"/>
    <col min="7" max="7" width="15" customWidth="1"/>
    <col min="8" max="8" width="20.1796875" customWidth="1"/>
    <col min="9" max="9" width="10.1796875" customWidth="1"/>
    <col min="10" max="10" width="12.453125" customWidth="1"/>
    <col min="11" max="11" width="12.54296875" customWidth="1"/>
    <col min="12" max="12" width="10.54296875" customWidth="1"/>
    <col min="13" max="13" width="12.1796875" customWidth="1"/>
  </cols>
  <sheetData>
    <row r="1" spans="1:14" s="34" customFormat="1" ht="29.15" customHeight="1" x14ac:dyDescent="0.35">
      <c r="A1" s="326" t="s">
        <v>518</v>
      </c>
      <c r="B1" s="326"/>
      <c r="C1" s="326"/>
      <c r="D1" s="326"/>
      <c r="E1" s="326"/>
      <c r="F1" s="326"/>
      <c r="G1" s="326"/>
      <c r="H1" s="326"/>
      <c r="I1" s="326"/>
      <c r="J1" s="326"/>
      <c r="K1" s="326"/>
      <c r="L1" s="326"/>
    </row>
    <row r="2" spans="1:14" ht="16" x14ac:dyDescent="0.35">
      <c r="A2" s="31" t="s">
        <v>425</v>
      </c>
      <c r="B2" s="32">
        <f>IF(Country_Name="Other", Manual_Country_Name, Country_Name)</f>
        <v>0</v>
      </c>
    </row>
    <row r="4" spans="1:14" ht="16" x14ac:dyDescent="0.4">
      <c r="A4" s="389" t="s">
        <v>519</v>
      </c>
      <c r="B4" s="389"/>
      <c r="C4" s="389"/>
      <c r="D4" s="389"/>
      <c r="E4" s="389"/>
      <c r="F4" s="389"/>
      <c r="G4" s="389"/>
      <c r="H4" s="389"/>
      <c r="I4" s="389"/>
      <c r="J4" s="389"/>
      <c r="K4" s="165"/>
      <c r="L4" s="165"/>
    </row>
    <row r="5" spans="1:14" ht="16" x14ac:dyDescent="0.4">
      <c r="A5" s="46"/>
      <c r="B5" s="46"/>
      <c r="C5" s="46"/>
      <c r="D5" s="46"/>
      <c r="E5" s="46"/>
      <c r="F5" s="46"/>
      <c r="G5" s="46"/>
      <c r="H5" s="46"/>
      <c r="I5" s="46"/>
      <c r="J5" s="46"/>
      <c r="K5" s="46"/>
      <c r="L5" s="46"/>
    </row>
    <row r="6" spans="1:14" ht="30" customHeight="1" x14ac:dyDescent="0.4">
      <c r="A6" s="58" t="s">
        <v>14</v>
      </c>
      <c r="B6" s="386" t="s">
        <v>520</v>
      </c>
      <c r="C6" s="387"/>
      <c r="D6" s="386" t="s">
        <v>521</v>
      </c>
      <c r="E6" s="387"/>
      <c r="F6" s="386" t="s">
        <v>522</v>
      </c>
      <c r="G6" s="387"/>
      <c r="H6" s="390" t="s">
        <v>523</v>
      </c>
      <c r="I6" s="390"/>
      <c r="J6" s="390" t="s">
        <v>524</v>
      </c>
      <c r="K6" s="390"/>
      <c r="L6" s="391"/>
      <c r="M6" s="391"/>
      <c r="N6" s="46"/>
    </row>
    <row r="7" spans="1:14" ht="16" x14ac:dyDescent="0.4">
      <c r="A7" s="47" t="s">
        <v>525</v>
      </c>
      <c r="B7" s="383" t="str">
        <f>IFERROR(ThreeYear_DualTests_Total,"")</f>
        <v/>
      </c>
      <c r="C7" s="384"/>
      <c r="D7" s="380" t="str">
        <f>IFERROR(ThreeYear_HBsAgTests_Total,"")</f>
        <v/>
      </c>
      <c r="E7" s="381"/>
      <c r="F7" s="383" t="str">
        <f>IFERROR(ThreeYear_TripleTests_Total,"")</f>
        <v/>
      </c>
      <c r="G7" s="384"/>
      <c r="H7" s="385" t="str">
        <f>IFERROR(ThreeYear_BPG_Total,"")</f>
        <v/>
      </c>
      <c r="I7" s="385"/>
      <c r="J7" s="385" t="str">
        <f>IFERROR(ThreeYear_TDF_Total,"")</f>
        <v/>
      </c>
      <c r="K7" s="385"/>
      <c r="L7" s="382"/>
      <c r="M7" s="382"/>
      <c r="N7" s="46"/>
    </row>
    <row r="8" spans="1:14" ht="16" x14ac:dyDescent="0.4">
      <c r="A8" s="47" t="s">
        <v>207</v>
      </c>
      <c r="B8" s="385">
        <f>IF(Other_Population="",0,ThreeYear_Other_DualTests_Total)</f>
        <v>0</v>
      </c>
      <c r="C8" s="385"/>
      <c r="D8" s="380">
        <f>IF(HBV_Other_Population="",0,ThreeYear_Other_HBsAgTests_Total)</f>
        <v>0</v>
      </c>
      <c r="E8" s="381"/>
      <c r="F8" s="383">
        <f>IF(Other_Population="",0,ThreeYear_Other_TripleTests_Total)</f>
        <v>0</v>
      </c>
      <c r="G8" s="384"/>
      <c r="H8" s="385">
        <f>IF(Other_Population="",0,ThreeYear_Other_BPG_Total)</f>
        <v>0</v>
      </c>
      <c r="I8" s="385"/>
      <c r="J8" s="380">
        <f>IF(HBV_Other_Population="",0,ThreeYear_Other_TDF_Total)</f>
        <v>0</v>
      </c>
      <c r="K8" s="381"/>
      <c r="L8" s="382"/>
      <c r="M8" s="382"/>
      <c r="N8" s="46"/>
    </row>
    <row r="9" spans="1:14" ht="16" x14ac:dyDescent="0.4">
      <c r="A9" s="46"/>
      <c r="B9" s="46"/>
      <c r="C9" s="46"/>
      <c r="D9" s="46"/>
      <c r="E9" s="46"/>
      <c r="F9" s="46"/>
      <c r="G9" s="46"/>
      <c r="H9" s="46"/>
      <c r="I9" s="46"/>
      <c r="J9" s="46"/>
      <c r="K9" s="46"/>
      <c r="L9" s="46"/>
    </row>
    <row r="10" spans="1:14" ht="16" x14ac:dyDescent="0.4">
      <c r="A10" s="20" t="s">
        <v>533</v>
      </c>
      <c r="B10" s="392" t="str">
        <f>IFERROR(B7+B8,"")</f>
        <v/>
      </c>
      <c r="C10" s="393"/>
      <c r="D10" s="392" t="str">
        <f>IFERROR(D7+D8,"")</f>
        <v/>
      </c>
      <c r="E10" s="393"/>
      <c r="F10" s="392" t="str">
        <f>IFERROR(F7+F8,"")</f>
        <v/>
      </c>
      <c r="G10" s="393"/>
      <c r="H10" s="392" t="str">
        <f>IFERROR(H7+H8,"")</f>
        <v/>
      </c>
      <c r="I10" s="394"/>
      <c r="J10" s="392" t="str">
        <f>IFERROR(J7+J8,"")</f>
        <v/>
      </c>
      <c r="K10" s="394"/>
      <c r="L10" s="46"/>
      <c r="M10" s="46"/>
      <c r="N10" s="46"/>
    </row>
    <row r="11" spans="1:14" ht="16" x14ac:dyDescent="0.4">
      <c r="A11" s="79"/>
      <c r="B11" s="80"/>
      <c r="C11" s="79"/>
      <c r="D11" s="80"/>
      <c r="E11" s="80"/>
      <c r="F11" s="80"/>
      <c r="G11" s="80"/>
      <c r="H11" s="46"/>
      <c r="I11" s="46"/>
      <c r="J11" s="46"/>
      <c r="K11" s="46"/>
      <c r="L11" s="46"/>
    </row>
    <row r="12" spans="1:14" ht="16" x14ac:dyDescent="0.4">
      <c r="A12" s="389" t="s">
        <v>526</v>
      </c>
      <c r="B12" s="389"/>
      <c r="C12" s="389"/>
      <c r="D12" s="389"/>
      <c r="E12" s="389"/>
      <c r="F12" s="389"/>
      <c r="G12" s="389"/>
      <c r="H12" s="389"/>
      <c r="I12" s="389"/>
      <c r="J12" s="389"/>
      <c r="K12" s="165"/>
      <c r="L12" s="165"/>
    </row>
    <row r="13" spans="1:14" x14ac:dyDescent="0.35">
      <c r="A13" s="388" t="s">
        <v>527</v>
      </c>
      <c r="B13" s="388"/>
      <c r="C13" s="388"/>
      <c r="D13" s="388"/>
      <c r="E13" s="388"/>
      <c r="F13" s="388"/>
      <c r="G13" s="388"/>
      <c r="H13" s="388"/>
      <c r="I13" s="388"/>
      <c r="J13" s="388"/>
      <c r="K13" s="388"/>
      <c r="L13" s="388"/>
    </row>
    <row r="14" spans="1:14" ht="16" x14ac:dyDescent="0.4">
      <c r="A14" s="46"/>
      <c r="B14" s="46"/>
      <c r="C14" s="46"/>
      <c r="D14" s="46"/>
      <c r="E14" s="46"/>
      <c r="F14" s="46"/>
      <c r="G14" s="46"/>
      <c r="H14" s="46"/>
      <c r="I14" s="46"/>
      <c r="J14" s="46"/>
    </row>
    <row r="15" spans="1:14" ht="30" customHeight="1" x14ac:dyDescent="0.4">
      <c r="A15" s="58" t="s">
        <v>14</v>
      </c>
      <c r="B15" s="386" t="s">
        <v>528</v>
      </c>
      <c r="C15" s="387"/>
      <c r="D15" s="386" t="s">
        <v>529</v>
      </c>
      <c r="E15" s="387"/>
      <c r="F15" s="386" t="s">
        <v>530</v>
      </c>
      <c r="G15" s="387"/>
      <c r="H15" s="390" t="s">
        <v>531</v>
      </c>
      <c r="I15" s="390"/>
      <c r="J15" s="390" t="s">
        <v>532</v>
      </c>
      <c r="K15" s="390"/>
      <c r="L15" s="391"/>
      <c r="M15" s="391"/>
      <c r="N15" s="46"/>
    </row>
    <row r="16" spans="1:14" ht="16" x14ac:dyDescent="0.4">
      <c r="A16" s="47" t="s">
        <v>111</v>
      </c>
      <c r="B16" s="383" t="str">
        <f>IFERROR(ThreeYear_DualTest_Packs,"")</f>
        <v/>
      </c>
      <c r="C16" s="384"/>
      <c r="D16" s="380" t="str">
        <f>IFERROR(ThreeYear_HBsAg_Packs,"")</f>
        <v/>
      </c>
      <c r="E16" s="381"/>
      <c r="F16" s="383" t="str">
        <f>IFERROR(ThreeYear_TripleTest_Packs,"")</f>
        <v/>
      </c>
      <c r="G16" s="384"/>
      <c r="H16" s="385" t="str">
        <f>IFERROR(ThreeYear_BPG_Packs,"")</f>
        <v/>
      </c>
      <c r="I16" s="385"/>
      <c r="J16" s="385" t="str">
        <f>IFERROR(ThreeYear_TDF_Packs,"")</f>
        <v/>
      </c>
      <c r="K16" s="385"/>
      <c r="L16" s="382"/>
      <c r="M16" s="382"/>
      <c r="N16" s="46"/>
    </row>
    <row r="17" spans="1:14" ht="16" x14ac:dyDescent="0.4">
      <c r="A17" s="47" t="s">
        <v>55</v>
      </c>
      <c r="B17" s="385">
        <f>IF(Other_Population="",0,ThreeYear_Other_DualTest_Packs)</f>
        <v>0</v>
      </c>
      <c r="C17" s="385"/>
      <c r="D17" s="380">
        <f>IF(HBV_Other_Population="",0,ThreeYear_Other_HBsAg_Packs)</f>
        <v>0</v>
      </c>
      <c r="E17" s="381"/>
      <c r="F17" s="383">
        <f>IF(Other_Population="",0,ThreeYear_Other_TripleTest_Packs)</f>
        <v>0</v>
      </c>
      <c r="G17" s="384"/>
      <c r="H17" s="385">
        <f>IF(Other_Population="",0,ThreeYear_Other_BPG_Packs)</f>
        <v>0</v>
      </c>
      <c r="I17" s="385"/>
      <c r="J17" s="380">
        <f>IF(HBV_Other_Population="",0,ThreeYear_Other_TDF_Packs)</f>
        <v>0</v>
      </c>
      <c r="K17" s="381"/>
      <c r="L17" s="382"/>
      <c r="M17" s="382"/>
      <c r="N17" s="46"/>
    </row>
    <row r="18" spans="1:14" ht="16" x14ac:dyDescent="0.4">
      <c r="A18" s="46"/>
      <c r="B18" s="46"/>
      <c r="C18" s="46"/>
      <c r="D18" s="187"/>
      <c r="E18" s="187"/>
      <c r="F18" s="46"/>
      <c r="G18" s="46"/>
      <c r="H18" s="46"/>
      <c r="I18" s="46"/>
      <c r="J18" s="187"/>
      <c r="K18" s="187"/>
      <c r="L18" s="46"/>
    </row>
    <row r="19" spans="1:14" ht="16" x14ac:dyDescent="0.4">
      <c r="A19" s="20" t="s">
        <v>533</v>
      </c>
      <c r="B19" s="392" t="str">
        <f>IFERROR(B16+B17,"")</f>
        <v/>
      </c>
      <c r="C19" s="393"/>
      <c r="D19" s="392" t="str">
        <f>IFERROR(D16+D17,"")</f>
        <v/>
      </c>
      <c r="E19" s="393"/>
      <c r="F19" s="392" t="str">
        <f>IFERROR(F16+F17,"")</f>
        <v/>
      </c>
      <c r="G19" s="393"/>
      <c r="H19" s="392">
        <f>IFERROR(S16+S17,"")</f>
        <v>0</v>
      </c>
      <c r="I19" s="394"/>
      <c r="J19" s="392" t="str">
        <f>IFERROR(J16+J17,"")</f>
        <v/>
      </c>
      <c r="K19" s="394"/>
      <c r="L19" s="46"/>
      <c r="M19" s="46"/>
      <c r="N19" s="46"/>
    </row>
    <row r="20" spans="1:14" ht="16" x14ac:dyDescent="0.4">
      <c r="A20" s="79"/>
      <c r="B20" s="80"/>
      <c r="C20" s="79"/>
      <c r="D20" s="80"/>
      <c r="E20" s="80"/>
      <c r="F20" s="46"/>
      <c r="G20" s="46"/>
      <c r="H20" s="46"/>
      <c r="I20" s="46"/>
      <c r="J20" s="46"/>
    </row>
    <row r="21" spans="1:14" ht="16" x14ac:dyDescent="0.4">
      <c r="A21" s="389" t="s">
        <v>534</v>
      </c>
      <c r="B21" s="389"/>
      <c r="C21" s="389"/>
      <c r="D21" s="389"/>
      <c r="E21" s="389"/>
      <c r="F21" s="389"/>
      <c r="G21" s="389"/>
      <c r="H21" s="389"/>
      <c r="I21" s="389"/>
      <c r="J21" s="389"/>
      <c r="K21" s="165"/>
      <c r="L21" s="165"/>
    </row>
    <row r="22" spans="1:14" ht="16.5" thickBot="1" x14ac:dyDescent="0.45">
      <c r="A22" s="79"/>
      <c r="B22" s="80"/>
      <c r="C22" s="79"/>
      <c r="D22" s="80"/>
      <c r="E22" s="80"/>
      <c r="F22" s="46"/>
      <c r="G22" s="46"/>
      <c r="H22" s="46"/>
      <c r="I22" s="46"/>
      <c r="J22" s="46"/>
    </row>
    <row r="23" spans="1:14" ht="16.5" thickBot="1" x14ac:dyDescent="0.45">
      <c r="A23" s="374" t="s">
        <v>535</v>
      </c>
      <c r="B23" s="375"/>
      <c r="C23" s="375"/>
      <c r="D23" s="375"/>
      <c r="E23" s="375"/>
      <c r="F23" s="375"/>
      <c r="G23" s="375"/>
      <c r="H23" s="375"/>
      <c r="I23" s="375"/>
      <c r="J23" s="375"/>
      <c r="K23" s="375"/>
      <c r="L23" s="376"/>
    </row>
    <row r="24" spans="1:14" ht="16" x14ac:dyDescent="0.4">
      <c r="A24" s="44"/>
      <c r="B24" s="44"/>
      <c r="C24" s="44"/>
      <c r="D24" s="44"/>
      <c r="E24" s="44"/>
      <c r="F24" s="44"/>
      <c r="G24" s="44"/>
      <c r="H24" s="44"/>
      <c r="I24" s="44"/>
      <c r="J24" s="44"/>
      <c r="K24" s="44"/>
      <c r="L24" s="44"/>
    </row>
    <row r="25" spans="1:14" x14ac:dyDescent="0.35">
      <c r="A25" s="163" t="s">
        <v>536</v>
      </c>
    </row>
    <row r="26" spans="1:14" ht="58" x14ac:dyDescent="0.35">
      <c r="A26" s="58" t="s">
        <v>537</v>
      </c>
      <c r="B26" s="58" t="s">
        <v>538</v>
      </c>
      <c r="C26" s="57" t="s">
        <v>539</v>
      </c>
      <c r="D26" s="57" t="s">
        <v>540</v>
      </c>
      <c r="E26" s="57" t="s">
        <v>541</v>
      </c>
      <c r="F26" s="57" t="s">
        <v>542</v>
      </c>
      <c r="G26" s="57" t="s">
        <v>543</v>
      </c>
      <c r="H26" s="57" t="s">
        <v>544</v>
      </c>
      <c r="I26" s="57" t="s">
        <v>545</v>
      </c>
      <c r="J26" s="57" t="s">
        <v>546</v>
      </c>
      <c r="K26" s="57" t="s">
        <v>547</v>
      </c>
      <c r="L26" s="57" t="s">
        <v>548</v>
      </c>
    </row>
    <row r="27" spans="1:14" x14ac:dyDescent="0.35">
      <c r="A27" s="36" t="str">
        <f>IF(DualTest_Freq="Annuel","Année 1","")</f>
        <v/>
      </c>
      <c r="B27" s="13" t="str">
        <f>IF(DualTest_Freq="Annuel",1,"")</f>
        <v/>
      </c>
      <c r="C27" s="14" t="str">
        <f>IF(DualTest_Freq="Annuel",ANC_Population,"")</f>
        <v/>
      </c>
      <c r="D27" s="14" t="str">
        <f>IF(DualTest_Freq="Annuel",Y1_Screening_Target,"")</f>
        <v/>
      </c>
      <c r="E27" s="14" t="str">
        <f>IF(DualTest_Freq="Annuel",Calc_DualTests!E19,"")</f>
        <v/>
      </c>
      <c r="F27" s="14" t="str">
        <f>IF(DualTest_Freq="Annuel",Calc_DualTests!F19,"")</f>
        <v/>
      </c>
      <c r="G27" s="14" t="str">
        <f>IF(DualTest_Freq="Annuel",Calc_DualTests!G19,"")</f>
        <v/>
      </c>
      <c r="H27" s="14" t="str">
        <f>IF(DualTest_Freq="Annuel",Calc_DualTests!S19,"")</f>
        <v/>
      </c>
      <c r="I27" s="14" t="str">
        <f>IF(DualTest_Freq="Annuel",Calc_DualTests!I19,"")</f>
        <v/>
      </c>
      <c r="J27" s="14" t="str">
        <f>IF(DualTest_Freq="Annuel",Calc_DualTests!J19,"")</f>
        <v/>
      </c>
      <c r="K27" s="13" t="str">
        <f>IF(DualTest_Freq="Annuel",DualTest_PackSize,"")</f>
        <v/>
      </c>
      <c r="L27" s="14" t="str">
        <f>IF(DualTest_Freq="Annuel",IF(DualTest_PackSize="","Enter pack size",CEILING(Calc_DualTests!J19/DualTest_PackSize,1)),"")</f>
        <v/>
      </c>
    </row>
    <row r="28" spans="1:14" x14ac:dyDescent="0.35">
      <c r="A28" s="36" t="str">
        <f>IF(DualTest_Freq="Annuel","Année 2","")</f>
        <v/>
      </c>
      <c r="B28" s="13" t="str">
        <f>IF(DualTest_Freq="Annuel",2,"")</f>
        <v/>
      </c>
      <c r="C28" s="14" t="str">
        <f>IF(DualTest_Freq="Annuel",ANC_Population*(1+Pop_Growth_Rate/100),"")</f>
        <v/>
      </c>
      <c r="D28" s="14" t="str">
        <f>IF(DualTest_Freq="Annuel",Y2_Screening_Target,"")</f>
        <v/>
      </c>
      <c r="E28" s="14" t="str">
        <f>IF(DualTest_Freq="Annuel",Calc_DualTests!E20,"")</f>
        <v/>
      </c>
      <c r="F28" s="14" t="str">
        <f>IF(DualTest_Freq="Annuel",Calc_DualTests!F20,"")</f>
        <v/>
      </c>
      <c r="G28" s="14" t="str">
        <f>IF(DualTest_Freq="Annuel",Calc_DualTests!G20,"")</f>
        <v/>
      </c>
      <c r="H28" s="14" t="str">
        <f>IF(DualTest_Freq="Annuel",Calc_DualTests!S20,"")</f>
        <v/>
      </c>
      <c r="I28" s="14" t="str">
        <f>IF(DualTest_Freq="Annuel",Calc_DualTests!I20,"")</f>
        <v/>
      </c>
      <c r="J28" s="14" t="str">
        <f>IF(DualTest_Freq="Annuel",Calc_DualTests!J20,"")</f>
        <v/>
      </c>
      <c r="K28" s="13" t="str">
        <f>IF(DualTest_Freq="Annuel",DualTest_PackSize,"")</f>
        <v/>
      </c>
      <c r="L28" s="14" t="str">
        <f>IF(DualTest_Freq="Annuel",IF(DualTest_PackSize="","Enter pack size",CEILING(Calc_DualTests!J20/DualTest_PackSize,1)),"")</f>
        <v/>
      </c>
    </row>
    <row r="29" spans="1:14" x14ac:dyDescent="0.35">
      <c r="A29" s="36" t="str">
        <f>IF(DualTest_Freq="Annuel","Année 3","")</f>
        <v/>
      </c>
      <c r="B29" s="13" t="str">
        <f>IF(DualTest_Freq="Annuel",3,"")</f>
        <v/>
      </c>
      <c r="C29" s="14" t="str">
        <f>IF(DualTest_Freq="Annuel",ANC_Population*(1+Pop_Growth_Rate/100)^2,"")</f>
        <v/>
      </c>
      <c r="D29" s="14" t="str">
        <f>IF(DualTest_Freq="Annuel",Y3_Screening_Target,"")</f>
        <v/>
      </c>
      <c r="E29" s="14" t="str">
        <f>IF(DualTest_Freq="Annuel",Calc_DualTests!E21,"")</f>
        <v/>
      </c>
      <c r="F29" s="14" t="str">
        <f>IF(DualTest_Freq="Annuel",Calc_DualTests!F21,"")</f>
        <v/>
      </c>
      <c r="G29" s="14" t="str">
        <f>IF(DualTest_Freq="Annuel",Calc_DualTests!G21,"")</f>
        <v/>
      </c>
      <c r="H29" s="14" t="str">
        <f>IF(DualTest_Freq="Annuel",Calc_DualTests!S21,"")</f>
        <v/>
      </c>
      <c r="I29" s="14" t="str">
        <f>IF(DualTest_Freq="Annuel",Calc_DualTests!I21,"")</f>
        <v/>
      </c>
      <c r="J29" s="14" t="str">
        <f>IF(DualTest_Freq="Annuel",Calc_DualTests!J21,"")</f>
        <v/>
      </c>
      <c r="K29" s="13" t="str">
        <f>IF(DualTest_Freq="Annuel",DualTest_PackSize,"")</f>
        <v/>
      </c>
      <c r="L29" s="14" t="str">
        <f>IF(DualTest_Freq="Annuel",IF(DualTest_PackSize="","Enter pack size",CEILING(Calc_DualTests!J21/DualTest_PackSize,1)),"")</f>
        <v/>
      </c>
    </row>
    <row r="31" spans="1:14" s="96" customFormat="1" ht="16" x14ac:dyDescent="0.4">
      <c r="A31" s="86" t="str">
        <f>IF(DualTest_Freq="Annuel","TOTAL SUR 3 ANS","")</f>
        <v/>
      </c>
      <c r="B31" s="91"/>
      <c r="C31" s="91"/>
      <c r="D31" s="91"/>
      <c r="E31" s="91"/>
      <c r="F31" s="91"/>
      <c r="G31" s="91"/>
      <c r="H31" s="91"/>
      <c r="I31" s="91"/>
      <c r="J31" s="87" t="str">
        <f>IF(DualTest_Freq="Annuel",Calc_DualTests!J23,"")</f>
        <v/>
      </c>
      <c r="K31" s="91"/>
      <c r="L31" s="87" t="str">
        <f>IF(DualTest_Freq="Annuel",SUM(L27:L29),"")</f>
        <v/>
      </c>
    </row>
    <row r="32" spans="1:14" ht="16" x14ac:dyDescent="0.4">
      <c r="A32" s="79"/>
      <c r="B32" s="92"/>
      <c r="C32" s="92"/>
      <c r="D32" s="92"/>
      <c r="E32" s="92"/>
      <c r="F32" s="92"/>
      <c r="G32" s="92"/>
      <c r="H32" s="92"/>
      <c r="I32" s="92"/>
      <c r="J32" s="80"/>
      <c r="K32" s="92"/>
      <c r="L32" s="80"/>
    </row>
    <row r="33" spans="1:12" ht="16" x14ac:dyDescent="0.4">
      <c r="A33" s="163" t="s">
        <v>549</v>
      </c>
      <c r="B33" s="92"/>
      <c r="C33" s="92"/>
      <c r="D33" s="92"/>
      <c r="E33" s="92"/>
      <c r="F33" s="92"/>
      <c r="G33" s="92"/>
      <c r="H33" s="92"/>
      <c r="I33" s="92"/>
      <c r="J33" s="80"/>
      <c r="K33" s="92"/>
      <c r="L33" s="80"/>
    </row>
    <row r="34" spans="1:12" ht="58" x14ac:dyDescent="0.35">
      <c r="A34" s="58" t="s">
        <v>537</v>
      </c>
      <c r="B34" s="58" t="s">
        <v>538</v>
      </c>
      <c r="C34" s="57" t="s">
        <v>539</v>
      </c>
      <c r="D34" s="57" t="s">
        <v>540</v>
      </c>
      <c r="E34" s="57" t="s">
        <v>541</v>
      </c>
      <c r="F34" s="57" t="s">
        <v>542</v>
      </c>
      <c r="G34" s="57" t="s">
        <v>543</v>
      </c>
      <c r="H34" s="57" t="s">
        <v>544</v>
      </c>
      <c r="I34" s="57" t="s">
        <v>545</v>
      </c>
      <c r="J34" s="57" t="s">
        <v>546</v>
      </c>
      <c r="K34" s="57" t="s">
        <v>547</v>
      </c>
      <c r="L34" s="57" t="s">
        <v>548</v>
      </c>
    </row>
    <row r="35" spans="1:12" x14ac:dyDescent="0.35">
      <c r="A35" s="93" t="str">
        <f>IF(DualTest_Freq="semestriel","S1","")</f>
        <v/>
      </c>
      <c r="B35" s="93" t="str">
        <f>IF(DualTest_Freq="semestriel",1,"")</f>
        <v/>
      </c>
      <c r="C35" s="14" t="str">
        <f>IF(DualTest_Freq="semestriel",ANC_Population/2,"")</f>
        <v/>
      </c>
      <c r="D35" s="93" t="str">
        <f>IF(DualTest_Freq="semestriel",Y1_Screening_Target,"")</f>
        <v/>
      </c>
      <c r="E35" s="14" t="str">
        <f>IF(DualTest_Freq="semestriel",Calc_DualTests!E6+Calc_DualTests!E7,"")</f>
        <v/>
      </c>
      <c r="F35" s="14" t="str">
        <f>IF(DualTest_Freq="semestriel",Calc_DualTests!F6+Calc_DualTests!F7,"")</f>
        <v/>
      </c>
      <c r="G35" s="14" t="str">
        <f>IF(DualTest_Freq="semestriel",Calc_DualTests!G6+Calc_DualTests!G7,"")</f>
        <v/>
      </c>
      <c r="H35" s="14" t="str">
        <f>IF(DualTest_Freq="semestriel",Calc_DualTests!H6+Calc_DualTests!H7,"")</f>
        <v/>
      </c>
      <c r="I35" s="14" t="str">
        <f>IF(DualTest_Freq="semestriel",Calc_DualTests!I6+Calc_DualTests!I7,"")</f>
        <v/>
      </c>
      <c r="J35" s="94" t="str">
        <f>IF(DualTest_Freq="semestriel",Calc_DualTests!J6+Calc_DualTests!J7,"")</f>
        <v/>
      </c>
      <c r="K35" s="93" t="str">
        <f t="shared" ref="K35:K40" si="0">IF(DualTest_Freq="semestriel",DualTest_PackSize,"")</f>
        <v/>
      </c>
      <c r="L35" s="94" t="str">
        <f>IF(DualTest_Freq="semestriel",IF(DualTest_PackSize="","Enter pack size",CEILING((Calc_DualTests!J6+Calc_DualTests!J7)/DualTest_PackSize,1)),"")</f>
        <v/>
      </c>
    </row>
    <row r="36" spans="1:12" x14ac:dyDescent="0.35">
      <c r="A36" s="93" t="str">
        <f>IF(DualTest_Freq="semestriel","S2","")</f>
        <v/>
      </c>
      <c r="B36" s="93" t="str">
        <f>IF(DualTest_Freq="semestriel",1,"")</f>
        <v/>
      </c>
      <c r="C36" s="14" t="str">
        <f>IF(DualTest_Freq="semestriel",ANC_Population/2,"")</f>
        <v/>
      </c>
      <c r="D36" s="93" t="str">
        <f>IF(DualTest_Freq="semestriel",Y1_Screening_Target,"")</f>
        <v/>
      </c>
      <c r="E36" s="14" t="str">
        <f>IF(DualTest_Freq="semestriel",Calc_DualTests!E8+Calc_DualTests!E9,"")</f>
        <v/>
      </c>
      <c r="F36" s="14" t="str">
        <f>IF(DualTest_Freq="semestriel",Calc_DualTests!F8+Calc_DualTests!F9,"")</f>
        <v/>
      </c>
      <c r="G36" s="14" t="str">
        <f>IF(DualTest_Freq="semestriel",Calc_DualTests!G8+Calc_DualTests!G9,"")</f>
        <v/>
      </c>
      <c r="H36" s="14" t="str">
        <f>IF(DualTest_Freq="semestriel",Calc_DualTests!H8+Calc_DualTests!H9,"")</f>
        <v/>
      </c>
      <c r="I36" s="14" t="str">
        <f>IF(DualTest_Freq="semestriel",Calc_DualTests!I8+Calc_DualTests!I9,"")</f>
        <v/>
      </c>
      <c r="J36" s="94" t="str">
        <f>IF(DualTest_Freq="semestriel",Calc_DualTests!J8+Calc_DualTests!J9,"")</f>
        <v/>
      </c>
      <c r="K36" s="93" t="str">
        <f t="shared" si="0"/>
        <v/>
      </c>
      <c r="L36" s="94" t="str">
        <f>IF(DualTest_Freq="semestriel",IF(DualTest_PackSize="","Enter pack size",CEILING((Calc_DualTests!J8+Calc_DualTests!J9)/DualTest_PackSize,1)),"")</f>
        <v/>
      </c>
    </row>
    <row r="37" spans="1:12" x14ac:dyDescent="0.35">
      <c r="A37" s="93" t="str">
        <f>IF(DualTest_Freq="semestriel","S1","")</f>
        <v/>
      </c>
      <c r="B37" s="93" t="str">
        <f>IF(DualTest_Freq="semestriel",2,"")</f>
        <v/>
      </c>
      <c r="C37" s="14" t="str">
        <f>IF(DualTest_Freq="semestriel",ANC_Population*(1+Pop_Growth_Rate/100)/2,"")</f>
        <v/>
      </c>
      <c r="D37" s="93" t="str">
        <f>IF(DualTest_Freq="semestriel",Y2_Screening_Target,"")</f>
        <v/>
      </c>
      <c r="E37" s="14" t="str">
        <f>IF(DualTest_Freq="semestriel",Calc_DualTests!E10+Calc_DualTests!E11,"")</f>
        <v/>
      </c>
      <c r="F37" s="14" t="str">
        <f>IF(DualTest_Freq="semestriel",Calc_DualTests!F10+Calc_DualTests!F11,"")</f>
        <v/>
      </c>
      <c r="G37" s="14" t="str">
        <f>IF(DualTest_Freq="semestriel",Calc_DualTests!G10+Calc_DualTests!G11,"")</f>
        <v/>
      </c>
      <c r="H37" s="14" t="str">
        <f>IF(DualTest_Freq="semestriel",Calc_DualTests!S10+Calc_DualTests!S11,"")</f>
        <v/>
      </c>
      <c r="I37" s="14" t="str">
        <f>IF(DualTest_Freq="semestriel",Calc_DualTests!I10+Calc_DualTests!I11,"")</f>
        <v/>
      </c>
      <c r="J37" s="94" t="str">
        <f>IF(DualTest_Freq="semestriel",Calc_DualTests!J10+Calc_DualTests!J11,"")</f>
        <v/>
      </c>
      <c r="K37" s="93" t="str">
        <f t="shared" si="0"/>
        <v/>
      </c>
      <c r="L37" s="94" t="str">
        <f>IF(DualTest_Freq="semestriel",IF(DualTest_PackSize="","Enter pack size",CEILING((Calc_DualTests!J10+Calc_DualTests!J11)/DualTest_PackSize,1)),"")</f>
        <v/>
      </c>
    </row>
    <row r="38" spans="1:12" x14ac:dyDescent="0.35">
      <c r="A38" s="93" t="str">
        <f>IF(DualTest_Freq="semestriel","S2","")</f>
        <v/>
      </c>
      <c r="B38" s="93" t="str">
        <f>IF(DualTest_Freq="semestriel",2,"")</f>
        <v/>
      </c>
      <c r="C38" s="14" t="str">
        <f>IF(DualTest_Freq="semestriel",ANC_Population*(1+Pop_Growth_Rate/100)/2,"")</f>
        <v/>
      </c>
      <c r="D38" s="93" t="str">
        <f>IF(DualTest_Freq="semestriel",Y2_Screening_Target,"")</f>
        <v/>
      </c>
      <c r="E38" s="14" t="str">
        <f>IF(DualTest_Freq="semestriel",Calc_DualTests!E11+Calc_DualTests!E12,"")</f>
        <v/>
      </c>
      <c r="F38" s="14" t="str">
        <f>IF(DualTest_Freq="semestriel",Calc_DualTests!F11+Calc_DualTests!F12,"")</f>
        <v/>
      </c>
      <c r="G38" s="14" t="str">
        <f>IF(DualTest_Freq="semestriel",Calc_DualTests!G11+Calc_DualTests!G12,"")</f>
        <v/>
      </c>
      <c r="H38" s="14" t="str">
        <f>IF(DualTest_Freq="semestriel",Calc_DualTests!S11+Calc_DualTests!S12,"")</f>
        <v/>
      </c>
      <c r="I38" s="14" t="str">
        <f>IF(DualTest_Freq="semestriel",Calc_DualTests!I11+Calc_DualTests!I12,"")</f>
        <v/>
      </c>
      <c r="J38" s="94" t="str">
        <f>IF(DualTest_Freq="semestriel",Calc_DualTests!J12+Calc_DualTests!J13,"")</f>
        <v/>
      </c>
      <c r="K38" s="93" t="str">
        <f t="shared" si="0"/>
        <v/>
      </c>
      <c r="L38" s="94" t="str">
        <f>IF(DualTest_Freq="semestriel",IF(DualTest_PackSize="","Enter pack size",CEILING((Calc_DualTests!J11+Calc_DualTests!J12)/DualTest_PackSize,1)),"")</f>
        <v/>
      </c>
    </row>
    <row r="39" spans="1:12" x14ac:dyDescent="0.35">
      <c r="A39" s="93" t="str">
        <f>IF(DualTest_Freq="semestriel","S1","")</f>
        <v/>
      </c>
      <c r="B39" s="93" t="str">
        <f>IF(DualTest_Freq="semestriel",3,"")</f>
        <v/>
      </c>
      <c r="C39" s="14" t="str">
        <f>IF(DualTest_Freq="semestriel",ANC_Population*(1+Pop_Growth_Rate/100)^2/2,"")</f>
        <v/>
      </c>
      <c r="D39" s="93" t="str">
        <f>IF(DualTest_Freq="semestriel",Y3_Screening_Target,"")</f>
        <v/>
      </c>
      <c r="E39" s="14" t="str">
        <f>IF(DualTest_Freq="semestriel",Calc_DualTests!E14+Calc_DualTests!E15,"")</f>
        <v/>
      </c>
      <c r="F39" s="14" t="str">
        <f>IF(DualTest_Freq="semestriel",Calc_DualTests!F14+Calc_DualTests!F15,"")</f>
        <v/>
      </c>
      <c r="G39" s="14" t="str">
        <f>IF(DualTest_Freq="semestriel",Calc_DualTests!G14+Calc_DualTests!G15,"")</f>
        <v/>
      </c>
      <c r="H39" s="14" t="str">
        <f>IF(DualTest_Freq="semestriel",Calc_DualTests!S14+Calc_DualTests!S15,"")</f>
        <v/>
      </c>
      <c r="I39" s="14" t="str">
        <f>IF(DualTest_Freq="semestriel",Calc_DualTests!I14+Calc_DualTests!I15,"")</f>
        <v/>
      </c>
      <c r="J39" s="94" t="str">
        <f>IF(DualTest_Freq="semestriel",Calc_DualTests!J14+Calc_DualTests!J15,"")</f>
        <v/>
      </c>
      <c r="K39" s="93" t="str">
        <f t="shared" si="0"/>
        <v/>
      </c>
      <c r="L39" s="94" t="str">
        <f>IF(DualTest_Freq="semestriel",IF(DualTest_PackSize="","Enter pack size",CEILING((Calc_DualTests!J14+Calc_DualTests!J15)/DualTest_PackSize,1)),"")</f>
        <v/>
      </c>
    </row>
    <row r="40" spans="1:12" x14ac:dyDescent="0.35">
      <c r="A40" s="93" t="str">
        <f>IF(DualTest_Freq="semestriel","S2","")</f>
        <v/>
      </c>
      <c r="B40" s="93" t="str">
        <f>IF(DualTest_Freq="semestriel",3,"")</f>
        <v/>
      </c>
      <c r="C40" s="14" t="str">
        <f>IF(DualTest_Freq="semestriel",ANC_Population*(1+Pop_Growth_Rate/100)^2/2,"")</f>
        <v/>
      </c>
      <c r="D40" s="93" t="str">
        <f>IF(DualTest_Freq="semestriel",Y3_Screening_Target,"")</f>
        <v/>
      </c>
      <c r="E40" s="14" t="str">
        <f>IF(DualTest_Freq="semestriel",Calc_DualTests!E15+Calc_DualTests!E16,"")</f>
        <v/>
      </c>
      <c r="F40" s="14" t="str">
        <f>IF(DualTest_Freq="semestriel",Calc_DualTests!F15+Calc_DualTests!F16,"")</f>
        <v/>
      </c>
      <c r="G40" s="14" t="str">
        <f>IF(DualTest_Freq="semestriel",Calc_DualTests!G15+Calc_DualTests!G16,"")</f>
        <v/>
      </c>
      <c r="H40" s="14" t="str">
        <f>IF(DualTest_Freq="semestriel",Calc_DualTests!S15+Calc_DualTests!S16,"")</f>
        <v/>
      </c>
      <c r="I40" s="14" t="str">
        <f>IF(DualTest_Freq="semestriel",Calc_DualTests!I15+Calc_DualTests!I16,"")</f>
        <v/>
      </c>
      <c r="J40" s="94" t="str">
        <f>IF(DualTest_Freq="semestriel",Calc_DualTests!J16+Calc_DualTests!J17,"")</f>
        <v/>
      </c>
      <c r="K40" s="93" t="str">
        <f t="shared" si="0"/>
        <v/>
      </c>
      <c r="L40" s="94" t="str">
        <f>IF(DualTest_Freq="semestriel",IF(DualTest_PackSize="","Enter pack size",CEILING((Calc_DualTests!J15+Calc_DualTests!J16)/DualTest_PackSize,1)),"")</f>
        <v/>
      </c>
    </row>
    <row r="41" spans="1:12" x14ac:dyDescent="0.35">
      <c r="A41" s="9"/>
      <c r="B41" s="9"/>
      <c r="C41" s="48"/>
      <c r="D41" s="9"/>
      <c r="E41" s="48"/>
      <c r="F41" s="48"/>
      <c r="G41" s="48"/>
      <c r="H41" s="48"/>
      <c r="I41" s="48"/>
      <c r="J41" s="95"/>
      <c r="K41" s="9"/>
      <c r="L41" s="95"/>
    </row>
    <row r="42" spans="1:12" x14ac:dyDescent="0.35">
      <c r="A42" s="24" t="str">
        <f>IF(DualTest_Freq="semestriel","Total Année 1","")</f>
        <v/>
      </c>
      <c r="B42" s="105"/>
      <c r="C42" s="105"/>
      <c r="D42" s="105"/>
      <c r="E42" s="105"/>
      <c r="F42" s="106"/>
      <c r="G42" s="106"/>
      <c r="H42" s="107"/>
      <c r="I42" s="107"/>
      <c r="J42" s="107" t="str">
        <f>IF(DualTest_Freq="semestriel",J35+J36,"")</f>
        <v/>
      </c>
      <c r="K42" s="107"/>
      <c r="L42" s="107" t="str">
        <f>IF(DualTest_Freq="semestriel",L35+L36,"")</f>
        <v/>
      </c>
    </row>
    <row r="43" spans="1:12" x14ac:dyDescent="0.35">
      <c r="A43" s="24" t="str">
        <f>IF(DualTest_Freq="semestriel","Total Année 2","")</f>
        <v/>
      </c>
      <c r="B43" s="105"/>
      <c r="C43" s="105"/>
      <c r="D43" s="105"/>
      <c r="E43" s="105"/>
      <c r="F43" s="106"/>
      <c r="G43" s="106"/>
      <c r="H43" s="107"/>
      <c r="I43" s="107"/>
      <c r="J43" s="107" t="str">
        <f>IF(DualTest_Freq="semestriel",J37+J38,"")</f>
        <v/>
      </c>
      <c r="K43" s="107"/>
      <c r="L43" s="107" t="str">
        <f>IF(DualTest_Freq="semestriel",L37+L38,"")</f>
        <v/>
      </c>
    </row>
    <row r="44" spans="1:12" x14ac:dyDescent="0.35">
      <c r="A44" s="24" t="str">
        <f>IF(DualTest_Freq="semestriel","Total Année 3","")</f>
        <v/>
      </c>
      <c r="B44" s="105"/>
      <c r="C44" s="105"/>
      <c r="D44" s="105"/>
      <c r="E44" s="105"/>
      <c r="F44" s="106"/>
      <c r="G44" s="106"/>
      <c r="H44" s="107"/>
      <c r="I44" s="107"/>
      <c r="J44" s="107" t="str">
        <f>IF(DualTest_Freq="semestriel",J39+J40,"")</f>
        <v/>
      </c>
      <c r="K44" s="107"/>
      <c r="L44" s="107" t="str">
        <f>IF(DualTest_Freq="semestriel",L39+L40,"")</f>
        <v/>
      </c>
    </row>
    <row r="45" spans="1:12" x14ac:dyDescent="0.35">
      <c r="A45" s="9"/>
      <c r="B45" s="9"/>
      <c r="C45" s="9"/>
      <c r="D45" s="9"/>
      <c r="E45" s="9"/>
      <c r="F45" s="9"/>
      <c r="G45" s="9"/>
      <c r="H45" s="9"/>
      <c r="I45" s="9"/>
      <c r="J45" s="95"/>
      <c r="K45" s="9"/>
      <c r="L45" s="95"/>
    </row>
    <row r="46" spans="1:12" s="96" customFormat="1" ht="16" x14ac:dyDescent="0.4">
      <c r="A46" s="86" t="str">
        <f>IF(DualTest_Freq="semestriel","TOTAL SUR 3 ANS","")</f>
        <v/>
      </c>
      <c r="B46" s="91"/>
      <c r="C46" s="91"/>
      <c r="D46" s="91"/>
      <c r="E46" s="91"/>
      <c r="F46" s="91"/>
      <c r="G46" s="91"/>
      <c r="H46" s="91"/>
      <c r="I46" s="91"/>
      <c r="J46" s="87" t="str">
        <f>IF(DualTest_Freq="semestriel",Calc_DualTests!J23,"")</f>
        <v/>
      </c>
      <c r="K46" s="91"/>
      <c r="L46" s="87" t="str">
        <f>IF(DualTest_Freq="semestriel",SUM(L35:L40),"")</f>
        <v/>
      </c>
    </row>
    <row r="47" spans="1:12" s="9" customFormat="1" x14ac:dyDescent="0.35">
      <c r="J47" s="95"/>
      <c r="L47" s="95"/>
    </row>
    <row r="48" spans="1:12" s="9" customFormat="1" x14ac:dyDescent="0.35">
      <c r="A48" s="163" t="s">
        <v>550</v>
      </c>
      <c r="J48" s="95"/>
      <c r="L48" s="95"/>
    </row>
    <row r="49" spans="1:12" ht="58" x14ac:dyDescent="0.35">
      <c r="A49" s="58" t="s">
        <v>537</v>
      </c>
      <c r="B49" s="58" t="s">
        <v>538</v>
      </c>
      <c r="C49" s="57" t="s">
        <v>539</v>
      </c>
      <c r="D49" s="57" t="s">
        <v>540</v>
      </c>
      <c r="E49" s="57" t="s">
        <v>541</v>
      </c>
      <c r="F49" s="57" t="s">
        <v>542</v>
      </c>
      <c r="G49" s="57" t="s">
        <v>543</v>
      </c>
      <c r="H49" s="57" t="s">
        <v>544</v>
      </c>
      <c r="I49" s="57" t="s">
        <v>545</v>
      </c>
      <c r="J49" s="57" t="s">
        <v>546</v>
      </c>
      <c r="K49" s="57" t="s">
        <v>547</v>
      </c>
      <c r="L49" s="57" t="s">
        <v>548</v>
      </c>
    </row>
    <row r="50" spans="1:12" x14ac:dyDescent="0.35">
      <c r="A50" s="93" t="str">
        <f>IF(DualTest_Freq="trimestriel","T1","")</f>
        <v/>
      </c>
      <c r="B50" s="93" t="str">
        <f>IF(DualTest_Freq="trimestriel",1,"")</f>
        <v/>
      </c>
      <c r="C50" s="14" t="str">
        <f>IF(DualTest_Freq="trimestriel",ANC_Population/4,"")</f>
        <v/>
      </c>
      <c r="D50" s="93" t="str">
        <f>IF(DualTest_Freq="trimestriel",Y1_Screening_Target,"")</f>
        <v/>
      </c>
      <c r="E50" s="14" t="str">
        <f>IF(DualTest_Freq="trimestriel",Calc_DualTests!E6,"")</f>
        <v/>
      </c>
      <c r="F50" s="14" t="str">
        <f>IF(DualTest_Freq="trimestriel",Calc_DualTests!F6,"")</f>
        <v/>
      </c>
      <c r="G50" s="14" t="str">
        <f>IF(DualTest_Freq="trimestriel",Calc_DualTests!G6,"")</f>
        <v/>
      </c>
      <c r="H50" s="14" t="str">
        <f>IF(DualTest_Freq="trimestriel",Calc_DualTests!H6,"")</f>
        <v/>
      </c>
      <c r="I50" s="14" t="str">
        <f>IF(DualTest_Freq="trimestriel",Calc_DualTests!I6,"")</f>
        <v/>
      </c>
      <c r="J50" s="94" t="str">
        <f>IF(DualTest_Freq="trimestriel",Calc_DualTests!J6,"")</f>
        <v/>
      </c>
      <c r="K50" s="93" t="str">
        <f t="shared" ref="K50:K61" si="1">IF(DualTest_Freq="trimestriel",DualTest_PackSize,"")</f>
        <v/>
      </c>
      <c r="L50" s="94" t="str">
        <f>IF(DualTest_Freq="trimestriel",IF(DualTest_PackSize="","Enter pack size",CEILING(Calc_DualTests!J6/DualTest_PackSize,1)),"")</f>
        <v/>
      </c>
    </row>
    <row r="51" spans="1:12" x14ac:dyDescent="0.35">
      <c r="A51" s="93" t="str">
        <f>IF(DualTest_Freq="trimestriel","T2","")</f>
        <v/>
      </c>
      <c r="B51" s="93" t="str">
        <f>IF(DualTest_Freq="trimestriel",1,"")</f>
        <v/>
      </c>
      <c r="C51" s="14" t="str">
        <f>IF(DualTest_Freq="trimestriel",ANC_Population/4,"")</f>
        <v/>
      </c>
      <c r="D51" s="93" t="str">
        <f>IF(DualTest_Freq="trimestriel",Y1_Screening_Target,"")</f>
        <v/>
      </c>
      <c r="E51" s="14" t="str">
        <f>IF(DualTest_Freq="trimestriel",Calc_DualTests!E7,"")</f>
        <v/>
      </c>
      <c r="F51" s="14" t="str">
        <f>IF(DualTest_Freq="trimestriel",Calc_DualTests!F7,"")</f>
        <v/>
      </c>
      <c r="G51" s="14" t="str">
        <f>IF(DualTest_Freq="trimestriel",Calc_DualTests!G7,"")</f>
        <v/>
      </c>
      <c r="H51" s="14" t="str">
        <f>IF(DualTest_Freq="trimestriel",Calc_DualTests!H7,"")</f>
        <v/>
      </c>
      <c r="I51" s="14" t="str">
        <f>IF(DualTest_Freq="trimestriel",Calc_DualTests!I7,"")</f>
        <v/>
      </c>
      <c r="J51" s="94" t="str">
        <f>IF(DualTest_Freq="trimestriel",Calc_DualTests!J7,"")</f>
        <v/>
      </c>
      <c r="K51" s="93" t="str">
        <f t="shared" si="1"/>
        <v/>
      </c>
      <c r="L51" s="94" t="str">
        <f>IF(DualTest_Freq="trimestriel",IF(DualTest_PackSize="","Enter pack size",CEILING(Calc_DualTests!J7/DualTest_PackSize,1)),"")</f>
        <v/>
      </c>
    </row>
    <row r="52" spans="1:12" x14ac:dyDescent="0.35">
      <c r="A52" s="93" t="str">
        <f>IF(DualTest_Freq="trimestriel","T3","")</f>
        <v/>
      </c>
      <c r="B52" s="93" t="str">
        <f>IF(DualTest_Freq="trimestriel",1,"")</f>
        <v/>
      </c>
      <c r="C52" s="14" t="str">
        <f>IF(DualTest_Freq="trimestriel",ANC_Population/4,"")</f>
        <v/>
      </c>
      <c r="D52" s="93" t="str">
        <f>IF(DualTest_Freq="trimestriel",Y1_Screening_Target,"")</f>
        <v/>
      </c>
      <c r="E52" s="14" t="str">
        <f>IF(DualTest_Freq="trimestriel",Calc_DualTests!E8,"")</f>
        <v/>
      </c>
      <c r="F52" s="14" t="str">
        <f>IF(DualTest_Freq="trimestriel",Calc_DualTests!F8,"")</f>
        <v/>
      </c>
      <c r="G52" s="14" t="str">
        <f>IF(DualTest_Freq="trimestriel",Calc_DualTests!G8,"")</f>
        <v/>
      </c>
      <c r="H52" s="14" t="str">
        <f>IF(DualTest_Freq="trimestriel",Calc_DualTests!H8,"")</f>
        <v/>
      </c>
      <c r="I52" s="14" t="str">
        <f>IF(DualTest_Freq="trimestriel",Calc_DualTests!I8,"")</f>
        <v/>
      </c>
      <c r="J52" s="94" t="str">
        <f>IF(DualTest_Freq="trimestriel",Calc_DualTests!J8,"")</f>
        <v/>
      </c>
      <c r="K52" s="93" t="str">
        <f t="shared" si="1"/>
        <v/>
      </c>
      <c r="L52" s="94" t="str">
        <f>IF(DualTest_Freq="trimestriel",IF(DualTest_PackSize="","Enter pack size",CEILING(Calc_DualTests!J8/DualTest_PackSize,1)),"")</f>
        <v/>
      </c>
    </row>
    <row r="53" spans="1:12" x14ac:dyDescent="0.35">
      <c r="A53" s="93" t="str">
        <f>IF(DualTest_Freq="trimestriel","T4","")</f>
        <v/>
      </c>
      <c r="B53" s="93" t="str">
        <f>IF(DualTest_Freq="trimestriel",1,"")</f>
        <v/>
      </c>
      <c r="C53" s="14" t="str">
        <f>IF(DualTest_Freq="trimestriel",ANC_Population/4,"")</f>
        <v/>
      </c>
      <c r="D53" s="93" t="str">
        <f>IF(DualTest_Freq="trimestriel",Y1_Screening_Target,"")</f>
        <v/>
      </c>
      <c r="E53" s="14" t="str">
        <f>IF(DualTest_Freq="trimestriel",Calc_DualTests!E9,"")</f>
        <v/>
      </c>
      <c r="F53" s="14" t="str">
        <f>IF(DualTest_Freq="trimestriel",Calc_DualTests!F9,"")</f>
        <v/>
      </c>
      <c r="G53" s="14" t="str">
        <f>IF(DualTest_Freq="trimestriel",Calc_DualTests!G9,"")</f>
        <v/>
      </c>
      <c r="H53" s="14" t="str">
        <f>IF(DualTest_Freq="trimestriel",Calc_DualTests!H9,"")</f>
        <v/>
      </c>
      <c r="I53" s="14" t="str">
        <f>IF(DualTest_Freq="trimestriel",Calc_DualTests!I9,"")</f>
        <v/>
      </c>
      <c r="J53" s="94" t="str">
        <f>IF(DualTest_Freq="trimestriel",Calc_DualTests!J9,"")</f>
        <v/>
      </c>
      <c r="K53" s="93" t="str">
        <f t="shared" si="1"/>
        <v/>
      </c>
      <c r="L53" s="94" t="str">
        <f>IF(DualTest_Freq="trimestriel",IF(DualTest_PackSize="","Enter pack size",CEILING(Calc_DualTests!J9/DualTest_PackSize,1)),"")</f>
        <v/>
      </c>
    </row>
    <row r="54" spans="1:12" x14ac:dyDescent="0.35">
      <c r="A54" s="93" t="str">
        <f>IF(DualTest_Freq="trimestriel","T1","")</f>
        <v/>
      </c>
      <c r="B54" s="93" t="str">
        <f>IF(DualTest_Freq="trimestriel",2,"")</f>
        <v/>
      </c>
      <c r="C54" s="14" t="str">
        <f>IF(DualTest_Freq="trimestriel",ANC_Population*(1+Pop_Growth_Rate/100)/4,"")</f>
        <v/>
      </c>
      <c r="D54" s="93" t="str">
        <f>IF(DualTest_Freq="trimestriel",Y2_Screening_Target,"")</f>
        <v/>
      </c>
      <c r="E54" s="14" t="str">
        <f>IF(DualTest_Freq="trimestriel",Calc_DualTests!E10,"")</f>
        <v/>
      </c>
      <c r="F54" s="14" t="str">
        <f>IF(DualTest_Freq="trimestriel",Calc_DualTests!F10,"")</f>
        <v/>
      </c>
      <c r="G54" s="14" t="str">
        <f>IF(DualTest_Freq="trimestriel",Calc_DualTests!G10,"")</f>
        <v/>
      </c>
      <c r="H54" s="14" t="str">
        <f>IF(DualTest_Freq="trimestriel",Calc_DualTests!S10,"")</f>
        <v/>
      </c>
      <c r="I54" s="14" t="str">
        <f>IF(DualTest_Freq="trimestriel",Calc_DualTests!I10,"")</f>
        <v/>
      </c>
      <c r="J54" s="94" t="str">
        <f>IF(DualTest_Freq="trimestriel",Calc_DualTests!J10,"")</f>
        <v/>
      </c>
      <c r="K54" s="93" t="str">
        <f t="shared" si="1"/>
        <v/>
      </c>
      <c r="L54" s="94" t="str">
        <f>IF(DualTest_Freq="trimestriel",IF(DualTest_PackSize="","Enter pack size",CEILING(Calc_DualTests!J10/DualTest_PackSize,1)),"")</f>
        <v/>
      </c>
    </row>
    <row r="55" spans="1:12" x14ac:dyDescent="0.35">
      <c r="A55" s="93" t="str">
        <f>IF(DualTest_Freq="trimestriel","T2","")</f>
        <v/>
      </c>
      <c r="B55" s="93" t="str">
        <f>IF(DualTest_Freq="trimestriel",2,"")</f>
        <v/>
      </c>
      <c r="C55" s="14" t="str">
        <f>IF(DualTest_Freq="trimestriel",ANC_Population*(1+Pop_Growth_Rate/100)/4,"")</f>
        <v/>
      </c>
      <c r="D55" s="93" t="str">
        <f>IF(DualTest_Freq="trimestriel",Y2_Screening_Target,"")</f>
        <v/>
      </c>
      <c r="E55" s="14" t="str">
        <f>IF(DualTest_Freq="trimestriel",Calc_DualTests!E11,"")</f>
        <v/>
      </c>
      <c r="F55" s="14" t="str">
        <f>IF(DualTest_Freq="trimestriel",Calc_DualTests!F11,"")</f>
        <v/>
      </c>
      <c r="G55" s="14" t="str">
        <f>IF(DualTest_Freq="trimestriel",Calc_DualTests!G11,"")</f>
        <v/>
      </c>
      <c r="H55" s="14" t="str">
        <f>IF(DualTest_Freq="trimestriel",Calc_DualTests!S11,"")</f>
        <v/>
      </c>
      <c r="I55" s="14" t="str">
        <f>IF(DualTest_Freq="trimestriel",Calc_DualTests!I11,"")</f>
        <v/>
      </c>
      <c r="J55" s="94" t="str">
        <f>IF(DualTest_Freq="trimestriel",Calc_DualTests!J11,"")</f>
        <v/>
      </c>
      <c r="K55" s="93" t="str">
        <f t="shared" si="1"/>
        <v/>
      </c>
      <c r="L55" s="94" t="str">
        <f>IF(DualTest_Freq="trimestriel",IF(DualTest_PackSize="","Enter pack size",CEILING(Calc_DualTests!J11/DualTest_PackSize,1)),"")</f>
        <v/>
      </c>
    </row>
    <row r="56" spans="1:12" x14ac:dyDescent="0.35">
      <c r="A56" s="93" t="str">
        <f>IF(DualTest_Freq="trimestriel","T3","")</f>
        <v/>
      </c>
      <c r="B56" s="93" t="str">
        <f>IF(DualTest_Freq="trimestriel",2,"")</f>
        <v/>
      </c>
      <c r="C56" s="14" t="str">
        <f>IF(DualTest_Freq="trimestriel",ANC_Population*(1+Pop_Growth_Rate/100)/4,"")</f>
        <v/>
      </c>
      <c r="D56" s="93" t="str">
        <f>IF(DualTest_Freq="trimestriel",Y2_Screening_Target,"")</f>
        <v/>
      </c>
      <c r="E56" s="14" t="str">
        <f>IF(DualTest_Freq="trimestriel",Calc_DualTests!E12,"")</f>
        <v/>
      </c>
      <c r="F56" s="14" t="str">
        <f>IF(DualTest_Freq="trimestriel",Calc_DualTests!F12,"")</f>
        <v/>
      </c>
      <c r="G56" s="14" t="str">
        <f>IF(DualTest_Freq="trimestriel",Calc_DualTests!G12,"")</f>
        <v/>
      </c>
      <c r="H56" s="14" t="str">
        <f>IF(DualTest_Freq="trimestriel",Calc_DualTests!S12,"")</f>
        <v/>
      </c>
      <c r="I56" s="14" t="str">
        <f>IF(DualTest_Freq="trimestriel",Calc_DualTests!I12,"")</f>
        <v/>
      </c>
      <c r="J56" s="94" t="str">
        <f>IF(DualTest_Freq="trimestriel",Calc_DualTests!J12,"")</f>
        <v/>
      </c>
      <c r="K56" s="93" t="str">
        <f t="shared" si="1"/>
        <v/>
      </c>
      <c r="L56" s="94" t="str">
        <f>IF(DualTest_Freq="trimestriel",IF(DualTest_PackSize="","Enter pack size",CEILING(Calc_DualTests!J12/DualTest_PackSize,1)),"")</f>
        <v/>
      </c>
    </row>
    <row r="57" spans="1:12" x14ac:dyDescent="0.35">
      <c r="A57" s="93" t="str">
        <f>IF(DualTest_Freq="trimestriel","T4","")</f>
        <v/>
      </c>
      <c r="B57" s="93" t="str">
        <f>IF(DualTest_Freq="trimestriel",2,"")</f>
        <v/>
      </c>
      <c r="C57" s="14" t="str">
        <f>IF(DualTest_Freq="trimestriel",ANC_Population*(1+Pop_Growth_Rate/100)/4,"")</f>
        <v/>
      </c>
      <c r="D57" s="93" t="str">
        <f>IF(DualTest_Freq="trimestriel",Y2_Screening_Target,"")</f>
        <v/>
      </c>
      <c r="E57" s="14" t="str">
        <f>IF(DualTest_Freq="trimestriel",Calc_DualTests!E13,"")</f>
        <v/>
      </c>
      <c r="F57" s="14" t="str">
        <f>IF(DualTest_Freq="trimestriel",Calc_DualTests!F13,"")</f>
        <v/>
      </c>
      <c r="G57" s="14" t="str">
        <f>IF(DualTest_Freq="trimestriel",Calc_DualTests!G13,"")</f>
        <v/>
      </c>
      <c r="H57" s="14" t="str">
        <f>IF(DualTest_Freq="trimestriel",Calc_DualTests!S13,"")</f>
        <v/>
      </c>
      <c r="I57" s="14" t="str">
        <f>IF(DualTest_Freq="trimestriel",Calc_DualTests!I13,"")</f>
        <v/>
      </c>
      <c r="J57" s="94" t="str">
        <f>IF(DualTest_Freq="trimestriel",Calc_DualTests!J13,"")</f>
        <v/>
      </c>
      <c r="K57" s="93" t="str">
        <f t="shared" si="1"/>
        <v/>
      </c>
      <c r="L57" s="94" t="str">
        <f>IF(DualTest_Freq="trimestriel",IF(DualTest_PackSize="","Enter pack size",CEILING(Calc_DualTests!J13/DualTest_PackSize,1)),"")</f>
        <v/>
      </c>
    </row>
    <row r="58" spans="1:12" x14ac:dyDescent="0.35">
      <c r="A58" s="93" t="str">
        <f>IF(DualTest_Freq="trimestriel","T1","")</f>
        <v/>
      </c>
      <c r="B58" s="93" t="str">
        <f>IF(DualTest_Freq="trimestriel",3,"")</f>
        <v/>
      </c>
      <c r="C58" s="14" t="str">
        <f>IF(DualTest_Freq="trimestriel",ANC_Population*(1+Pop_Growth_Rate/100)^2/4,"")</f>
        <v/>
      </c>
      <c r="D58" s="93" t="str">
        <f>IF(DualTest_Freq="trimestriel",Y3_Screening_Target,"")</f>
        <v/>
      </c>
      <c r="E58" s="14" t="str">
        <f>IF(DualTest_Freq="trimestriel",Calc_DualTests!E14,"")</f>
        <v/>
      </c>
      <c r="F58" s="14" t="str">
        <f>IF(DualTest_Freq="trimestriel",Calc_DualTests!F14,"")</f>
        <v/>
      </c>
      <c r="G58" s="14" t="str">
        <f>IF(DualTest_Freq="trimestriel",Calc_DualTests!G14,"")</f>
        <v/>
      </c>
      <c r="H58" s="14" t="str">
        <f>IF(DualTest_Freq="trimestriel",Calc_DualTests!S14,"")</f>
        <v/>
      </c>
      <c r="I58" s="14" t="str">
        <f>IF(DualTest_Freq="trimestriel",Calc_DualTests!I14,"")</f>
        <v/>
      </c>
      <c r="J58" s="94" t="str">
        <f>IF(DualTest_Freq="trimestriel",Calc_DualTests!J14,"")</f>
        <v/>
      </c>
      <c r="K58" s="93" t="str">
        <f t="shared" si="1"/>
        <v/>
      </c>
      <c r="L58" s="94" t="str">
        <f>IF(DualTest_Freq="trimestriel",IF(DualTest_PackSize="","Enter pack size",CEILING(Calc_DualTests!J14/DualTest_PackSize,1)),"")</f>
        <v/>
      </c>
    </row>
    <row r="59" spans="1:12" x14ac:dyDescent="0.35">
      <c r="A59" s="93" t="str">
        <f>IF(DualTest_Freq="trimestriel","T2","")</f>
        <v/>
      </c>
      <c r="B59" s="93" t="str">
        <f>IF(DualTest_Freq="trimestriel",3,"")</f>
        <v/>
      </c>
      <c r="C59" s="14" t="str">
        <f>IF(DualTest_Freq="trimestriel",ANC_Population*(1+Pop_Growth_Rate/100)^2/4,"")</f>
        <v/>
      </c>
      <c r="D59" s="93" t="str">
        <f>IF(DualTest_Freq="trimestriel",Y3_Screening_Target,"")</f>
        <v/>
      </c>
      <c r="E59" s="14" t="str">
        <f>IF(DualTest_Freq="trimestriel",Calc_DualTests!E15,"")</f>
        <v/>
      </c>
      <c r="F59" s="14" t="str">
        <f>IF(DualTest_Freq="trimestriel",Calc_DualTests!F15,"")</f>
        <v/>
      </c>
      <c r="G59" s="14" t="str">
        <f>IF(DualTest_Freq="trimestriel",Calc_DualTests!G15,"")</f>
        <v/>
      </c>
      <c r="H59" s="14" t="str">
        <f>IF(DualTest_Freq="trimestriel",Calc_DualTests!S15,"")</f>
        <v/>
      </c>
      <c r="I59" s="14" t="str">
        <f>IF(DualTest_Freq="trimestriel",Calc_DualTests!I15,"")</f>
        <v/>
      </c>
      <c r="J59" s="94" t="str">
        <f>IF(DualTest_Freq="trimestriel",Calc_DualTests!J15,"")</f>
        <v/>
      </c>
      <c r="K59" s="93" t="str">
        <f t="shared" si="1"/>
        <v/>
      </c>
      <c r="L59" s="94" t="str">
        <f>IF(DualTest_Freq="trimestriel",IF(DualTest_PackSize="","Enter pack size",CEILING(Calc_DualTests!J15/DualTest_PackSize,1)),"")</f>
        <v/>
      </c>
    </row>
    <row r="60" spans="1:12" x14ac:dyDescent="0.35">
      <c r="A60" s="93" t="str">
        <f>IF(DualTest_Freq="trimestriel","T3","")</f>
        <v/>
      </c>
      <c r="B60" s="93" t="str">
        <f>IF(DualTest_Freq="trimestriel",3,"")</f>
        <v/>
      </c>
      <c r="C60" s="14" t="str">
        <f>IF(DualTest_Freq="trimestriel",ANC_Population*(1+Pop_Growth_Rate/100)^2/4,"")</f>
        <v/>
      </c>
      <c r="D60" s="93" t="str">
        <f>IF(DualTest_Freq="trimestriel",Y3_Screening_Target,"")</f>
        <v/>
      </c>
      <c r="E60" s="14" t="str">
        <f>IF(DualTest_Freq="trimestriel",Calc_DualTests!E16,"")</f>
        <v/>
      </c>
      <c r="F60" s="14" t="str">
        <f>IF(DualTest_Freq="trimestriel",Calc_DualTests!F16,"")</f>
        <v/>
      </c>
      <c r="G60" s="14" t="str">
        <f>IF(DualTest_Freq="trimestriel",Calc_DualTests!G16,"")</f>
        <v/>
      </c>
      <c r="H60" s="14" t="str">
        <f>IF(DualTest_Freq="trimestriel",Calc_DualTests!S16,"")</f>
        <v/>
      </c>
      <c r="I60" s="14" t="str">
        <f>IF(DualTest_Freq="trimestriel",Calc_DualTests!I16,"")</f>
        <v/>
      </c>
      <c r="J60" s="94" t="str">
        <f>IF(DualTest_Freq="trimestriel",Calc_DualTests!J16,"")</f>
        <v/>
      </c>
      <c r="K60" s="93" t="str">
        <f t="shared" si="1"/>
        <v/>
      </c>
      <c r="L60" s="94" t="str">
        <f>IF(DualTest_Freq="trimestriel",IF(DualTest_PackSize="","Enter pack size",CEILING(Calc_DualTests!J16/DualTest_PackSize,1)),"")</f>
        <v/>
      </c>
    </row>
    <row r="61" spans="1:12" x14ac:dyDescent="0.35">
      <c r="A61" s="93" t="str">
        <f>IF(DualTest_Freq="trimestriel","T4","")</f>
        <v/>
      </c>
      <c r="B61" s="93" t="str">
        <f>IF(DualTest_Freq="trimestriel",3,"")</f>
        <v/>
      </c>
      <c r="C61" s="14" t="str">
        <f>IF(DualTest_Freq="trimestriel",ANC_Population*(1+Pop_Growth_Rate/100)^2/4,"")</f>
        <v/>
      </c>
      <c r="D61" s="93" t="str">
        <f>IF(DualTest_Freq="trimestriel",Y3_Screening_Target,"")</f>
        <v/>
      </c>
      <c r="E61" s="14" t="str">
        <f>IF(DualTest_Freq="trimestriel",Calc_DualTests!E17,"")</f>
        <v/>
      </c>
      <c r="F61" s="14" t="str">
        <f>IF(DualTest_Freq="trimestriel",Calc_DualTests!F17,"")</f>
        <v/>
      </c>
      <c r="G61" s="14" t="str">
        <f>IF(DualTest_Freq="trimestriel",Calc_DualTests!G17,"")</f>
        <v/>
      </c>
      <c r="H61" s="14" t="str">
        <f>IF(DualTest_Freq="trimestriel",Calc_DualTests!S17,"")</f>
        <v/>
      </c>
      <c r="I61" s="14" t="str">
        <f>IF(DualTest_Freq="trimestriel",Calc_DualTests!I17,"")</f>
        <v/>
      </c>
      <c r="J61" s="94" t="str">
        <f>IF(DualTest_Freq="trimestriel",Calc_DualTests!J17,"")</f>
        <v/>
      </c>
      <c r="K61" s="93" t="str">
        <f t="shared" si="1"/>
        <v/>
      </c>
      <c r="L61" s="94" t="str">
        <f>IF(DualTest_Freq="trimestriel",IF(DualTest_PackSize="","Enter pack size",CEILING(Calc_DualTests!J17/DualTest_PackSize,1)),"")</f>
        <v/>
      </c>
    </row>
    <row r="62" spans="1:12" x14ac:dyDescent="0.35">
      <c r="A62" s="9"/>
      <c r="B62" s="9"/>
      <c r="C62" s="48"/>
      <c r="D62" s="9"/>
      <c r="E62" s="48"/>
      <c r="F62" s="48"/>
      <c r="G62" s="48"/>
      <c r="H62" s="48"/>
      <c r="I62" s="48"/>
      <c r="J62" s="95"/>
      <c r="K62" s="9"/>
      <c r="L62" s="95"/>
    </row>
    <row r="63" spans="1:12" x14ac:dyDescent="0.35">
      <c r="A63" s="24" t="str">
        <f>IF(DualTest_Freq="trimestriel","Total Année 1","")</f>
        <v/>
      </c>
      <c r="B63" s="105"/>
      <c r="C63" s="105"/>
      <c r="D63" s="105"/>
      <c r="E63" s="105"/>
      <c r="F63" s="106"/>
      <c r="G63" s="106"/>
      <c r="H63" s="107"/>
      <c r="I63" s="107"/>
      <c r="J63" s="107" t="str">
        <f>IF(DualTest_Freq="trimestriel",Calc_DualTests!J19,"")</f>
        <v/>
      </c>
      <c r="K63" s="107"/>
      <c r="L63" s="107" t="str">
        <f>IF(DualTest_Freq="trimestriel",SUM(L50:L53),"")</f>
        <v/>
      </c>
    </row>
    <row r="64" spans="1:12" x14ac:dyDescent="0.35">
      <c r="A64" s="24" t="str">
        <f>IF(DualTest_Freq="trimestriel","Total Année 2","")</f>
        <v/>
      </c>
      <c r="B64" s="105"/>
      <c r="C64" s="105"/>
      <c r="D64" s="105"/>
      <c r="E64" s="105"/>
      <c r="F64" s="106"/>
      <c r="G64" s="106"/>
      <c r="H64" s="107"/>
      <c r="I64" s="107"/>
      <c r="J64" s="107" t="str">
        <f>IF(DualTest_Freq="trimestriel",Calc_DualTests!J20,"")</f>
        <v/>
      </c>
      <c r="K64" s="107"/>
      <c r="L64" s="107" t="str">
        <f>IF(DualTest_Freq="trimestriel",SUM(L54:L57),"")</f>
        <v/>
      </c>
    </row>
    <row r="65" spans="1:12" x14ac:dyDescent="0.35">
      <c r="A65" s="24" t="str">
        <f>IF(DualTest_Freq="trimestriel","Total Année 3","")</f>
        <v/>
      </c>
      <c r="B65" s="105"/>
      <c r="C65" s="105"/>
      <c r="D65" s="105"/>
      <c r="E65" s="105"/>
      <c r="F65" s="106"/>
      <c r="G65" s="106"/>
      <c r="H65" s="107"/>
      <c r="I65" s="107"/>
      <c r="J65" s="107" t="str">
        <f>IF(DualTest_Freq="trimestriel",Calc_DualTests!J21,"")</f>
        <v/>
      </c>
      <c r="K65" s="107"/>
      <c r="L65" s="107" t="str">
        <f>IF(DualTest_Freq="trimestriel",SUM(L58:L61),"")</f>
        <v/>
      </c>
    </row>
    <row r="66" spans="1:12" x14ac:dyDescent="0.35">
      <c r="A66" s="9"/>
      <c r="B66" s="9"/>
      <c r="C66" s="9"/>
      <c r="D66" s="9"/>
      <c r="E66" s="9"/>
      <c r="F66" s="9"/>
      <c r="G66" s="9"/>
      <c r="H66" s="9"/>
      <c r="I66" s="9"/>
      <c r="J66" s="95"/>
      <c r="K66" s="9"/>
      <c r="L66" s="95"/>
    </row>
    <row r="67" spans="1:12" s="96" customFormat="1" ht="16" x14ac:dyDescent="0.4">
      <c r="A67" s="86" t="str">
        <f>IF(DualTest_Freq="trimestriel","TOTAL SUR 3 ANS","")</f>
        <v/>
      </c>
      <c r="B67" s="91"/>
      <c r="C67" s="91"/>
      <c r="D67" s="91"/>
      <c r="E67" s="91"/>
      <c r="F67" s="91"/>
      <c r="G67" s="91"/>
      <c r="H67" s="91"/>
      <c r="I67" s="91"/>
      <c r="J67" s="87" t="str">
        <f>IF(DualTest_Freq="trimestriel",Calc_DualTests!J23,"")</f>
        <v/>
      </c>
      <c r="K67" s="91"/>
      <c r="L67" s="87" t="str">
        <f>IF(DualTest_Freq="trimestriel",SUM(L63:L65),"")</f>
        <v/>
      </c>
    </row>
    <row r="68" spans="1:12" x14ac:dyDescent="0.35">
      <c r="A68" s="9"/>
      <c r="B68" s="9"/>
      <c r="C68" s="48"/>
      <c r="D68" s="9"/>
      <c r="E68" s="48"/>
      <c r="F68" s="48"/>
      <c r="G68" s="48"/>
      <c r="H68" s="48"/>
      <c r="I68" s="48"/>
      <c r="J68" s="95"/>
      <c r="K68" s="9"/>
      <c r="L68" s="95"/>
    </row>
    <row r="69" spans="1:12" x14ac:dyDescent="0.35">
      <c r="A69" s="97" t="s">
        <v>66</v>
      </c>
      <c r="B69" s="98" t="str">
        <f>IF(DualTest_Freq="Annuel",L27,IF(DualTest_Freq="semestriel",L42,IF(DualTest_Freq="trimestriel",L63,"")))</f>
        <v/>
      </c>
      <c r="C69" s="48"/>
      <c r="D69" s="9"/>
      <c r="E69" s="48"/>
      <c r="F69" s="48"/>
      <c r="G69" s="48"/>
      <c r="H69" s="48"/>
      <c r="I69" s="48"/>
      <c r="J69" s="95"/>
      <c r="K69" s="9"/>
      <c r="L69" s="95"/>
    </row>
    <row r="70" spans="1:12" x14ac:dyDescent="0.35">
      <c r="A70" s="97" t="s">
        <v>67</v>
      </c>
      <c r="B70" s="98" t="str">
        <f>IF(DualTest_Freq="Annuel",L28,IF(DualTest_Freq="semestriel",L43,IF(DualTest_Freq="trimestriel",L64,"")))</f>
        <v/>
      </c>
      <c r="C70" s="48"/>
      <c r="D70" s="9"/>
      <c r="E70" s="48"/>
      <c r="F70" s="48"/>
      <c r="G70" s="48"/>
      <c r="H70" s="48"/>
      <c r="I70" s="48"/>
      <c r="J70" s="95"/>
      <c r="K70" s="9"/>
      <c r="L70" s="95"/>
    </row>
    <row r="71" spans="1:12" x14ac:dyDescent="0.35">
      <c r="A71" s="97" t="s">
        <v>68</v>
      </c>
      <c r="B71" s="98" t="str">
        <f>IF(DualTest_Freq="Annuel",L29,IF(DualTest_Freq="semestriel",L44,IF(DualTest_Freq="trimestriel",L65,"")))</f>
        <v/>
      </c>
      <c r="C71" s="48"/>
      <c r="D71" s="9"/>
      <c r="E71" s="48"/>
      <c r="F71" s="48"/>
      <c r="G71" s="48"/>
      <c r="H71" s="48"/>
      <c r="I71" s="48"/>
      <c r="J71" s="95"/>
      <c r="K71" s="9"/>
      <c r="L71" s="95"/>
    </row>
    <row r="72" spans="1:12" x14ac:dyDescent="0.35">
      <c r="A72" s="97" t="s">
        <v>69</v>
      </c>
      <c r="B72" s="98" t="str">
        <f>IFERROR(B69+B70+B71,"")</f>
        <v/>
      </c>
      <c r="C72" s="48"/>
      <c r="D72" s="9"/>
      <c r="E72" s="48"/>
      <c r="F72" s="48"/>
      <c r="G72" s="48"/>
      <c r="H72" s="48"/>
      <c r="I72" s="48"/>
      <c r="J72" s="95"/>
      <c r="K72" s="9"/>
      <c r="L72" s="95"/>
    </row>
    <row r="73" spans="1:12" ht="15" thickBot="1" x14ac:dyDescent="0.4"/>
    <row r="74" spans="1:12" ht="16.5" thickBot="1" x14ac:dyDescent="0.45">
      <c r="A74" s="377" t="s">
        <v>551</v>
      </c>
      <c r="B74" s="378"/>
      <c r="C74" s="378"/>
      <c r="D74" s="378"/>
      <c r="E74" s="378"/>
      <c r="F74" s="378"/>
      <c r="G74" s="378"/>
      <c r="H74" s="378"/>
      <c r="I74" s="378"/>
      <c r="J74" s="378"/>
      <c r="K74" s="378"/>
      <c r="L74" s="379"/>
    </row>
    <row r="76" spans="1:12" x14ac:dyDescent="0.35">
      <c r="A76" s="163" t="s">
        <v>536</v>
      </c>
    </row>
    <row r="77" spans="1:12" ht="58" x14ac:dyDescent="0.35">
      <c r="A77" s="58" t="s">
        <v>537</v>
      </c>
      <c r="B77" s="58" t="s">
        <v>538</v>
      </c>
      <c r="C77" s="57" t="s">
        <v>539</v>
      </c>
      <c r="D77" s="57" t="s">
        <v>540</v>
      </c>
      <c r="E77" s="57" t="s">
        <v>541</v>
      </c>
      <c r="F77" s="57" t="s">
        <v>542</v>
      </c>
      <c r="G77" s="57" t="s">
        <v>543</v>
      </c>
      <c r="H77" s="57" t="s">
        <v>544</v>
      </c>
      <c r="I77" s="57" t="s">
        <v>545</v>
      </c>
      <c r="J77" s="57" t="s">
        <v>546</v>
      </c>
      <c r="K77" s="57" t="s">
        <v>547</v>
      </c>
      <c r="L77" s="57" t="s">
        <v>548</v>
      </c>
    </row>
    <row r="78" spans="1:12" x14ac:dyDescent="0.35">
      <c r="A78" s="36" t="str">
        <f>IF(HBsAg_Freq="Annuel","Année 1","")</f>
        <v/>
      </c>
      <c r="B78" s="13" t="str">
        <f>IF(HBsAg_Freq="Annuel",1,"")</f>
        <v/>
      </c>
      <c r="C78" s="14" t="str">
        <f>IF(HBsAg_Freq="Annuel",ANC_Population,"")</f>
        <v/>
      </c>
      <c r="D78" s="14" t="str">
        <f>IF(HBsAg_Freq="Annuel",HBV_Y1_Screening_Target,"")</f>
        <v/>
      </c>
      <c r="E78" s="14" t="str">
        <f>IF(HBsAg_Freq="Annuel",Calc_HBsAgTests!E19,"")</f>
        <v/>
      </c>
      <c r="F78" s="14" t="str">
        <f>IF(HBsAg_Freq="Annuel",Calc_HBsAgTests!F19,"")</f>
        <v/>
      </c>
      <c r="G78" s="14" t="str">
        <f>IF(HBsAg_Freq="Annuel",Calc_HBsAgTests!G19,"")</f>
        <v/>
      </c>
      <c r="H78" s="14" t="str">
        <f>IF(HBsAg_Freq="Annuel",Calc_HBsAgTests!S19,"")</f>
        <v/>
      </c>
      <c r="I78" s="14" t="str">
        <f>IF(HBsAg_Freq="Annuel",Calc_HBsAgTests!I19,"")</f>
        <v/>
      </c>
      <c r="J78" s="14" t="str">
        <f>IF(HBsAg_Freq="Annuel",Calc_HBsAgTests!J19,"")</f>
        <v/>
      </c>
      <c r="K78" s="13" t="str">
        <f>IF(HBsAg_Freq="Annuel",HBsAg_PackSize,"")</f>
        <v/>
      </c>
      <c r="L78" s="14" t="str">
        <f>IF(HBsAg_Freq="Annuel",IF(HBsAg_PackSize="","Enter pack size",CEILING(J78/HBsAg_PackSize,1)),"")</f>
        <v/>
      </c>
    </row>
    <row r="79" spans="1:12" x14ac:dyDescent="0.35">
      <c r="A79" s="36" t="str">
        <f>IF(HBsAg_Freq="Annuel","Année 2","")</f>
        <v/>
      </c>
      <c r="B79" s="13" t="str">
        <f>IF(HBsAg_Freq="Annuel",2,"")</f>
        <v/>
      </c>
      <c r="C79" s="14" t="str">
        <f>IF(HBsAg_Freq="Annuel",ANC_Population,"")</f>
        <v/>
      </c>
      <c r="D79" s="14" t="str">
        <f>IF(HBsAg_Freq="Annuel",HBV_Y2_Screening_Target,"")</f>
        <v/>
      </c>
      <c r="E79" s="14" t="str">
        <f>IF(HBsAg_Freq="Annuel",Calc_HBsAgTests!E20,"")</f>
        <v/>
      </c>
      <c r="F79" s="14" t="str">
        <f>IF(HBsAg_Freq="Annuel",Calc_HBsAgTests!F20,"")</f>
        <v/>
      </c>
      <c r="G79" s="14" t="str">
        <f>IF(HBsAg_Freq="Annuel",Calc_HBsAgTests!G20,"")</f>
        <v/>
      </c>
      <c r="H79" s="14" t="str">
        <f>IF(HBsAg_Freq="Annuel",Calc_HBsAgTests!S20,"")</f>
        <v/>
      </c>
      <c r="I79" s="14" t="str">
        <f>IF(HBsAg_Freq="Annuel",Calc_HBsAgTests!I20,"")</f>
        <v/>
      </c>
      <c r="J79" s="14" t="str">
        <f>IF(HBsAg_Freq="Annuel",Calc_HBsAgTests!J20,"")</f>
        <v/>
      </c>
      <c r="K79" s="13" t="str">
        <f>IF(HBsAg_Freq="Annuel",HBsAg_PackSize,"")</f>
        <v/>
      </c>
      <c r="L79" s="14" t="str">
        <f>IF(HBsAg_Freq="Annuel",IF(HBsAg_PackSize="","Enter pack size",CEILING(J79/HBsAg_PackSize,1)),"")</f>
        <v/>
      </c>
    </row>
    <row r="80" spans="1:12" x14ac:dyDescent="0.35">
      <c r="A80" s="36" t="str">
        <f>IF(HBsAg_Freq="Annuel","Année 3","")</f>
        <v/>
      </c>
      <c r="B80" s="13" t="str">
        <f>IF(HBsAg_Freq="Annuel",3,"")</f>
        <v/>
      </c>
      <c r="C80" s="14" t="str">
        <f>IF(HBsAg_Freq="Annuel",ANC_Population,"")</f>
        <v/>
      </c>
      <c r="D80" s="14" t="str">
        <f>IF(HBsAg_Freq="Annuel",HBV_Y3_Screening_Target,"")</f>
        <v/>
      </c>
      <c r="E80" s="14" t="str">
        <f>IF(HBsAg_Freq="Annuel",Calc_HBsAgTests!E21,"")</f>
        <v/>
      </c>
      <c r="F80" s="14" t="str">
        <f>IF(HBsAg_Freq="Annuel",Calc_HBsAgTests!F21,"")</f>
        <v/>
      </c>
      <c r="G80" s="14" t="str">
        <f>IF(HBsAg_Freq="Annuel",Calc_HBsAgTests!G21,"")</f>
        <v/>
      </c>
      <c r="H80" s="14" t="str">
        <f>IF(HBsAg_Freq="Annuel",Calc_HBsAgTests!S21,"")</f>
        <v/>
      </c>
      <c r="I80" s="14" t="str">
        <f>IF(HBsAg_Freq="Annuel",Calc_HBsAgTests!I21,"")</f>
        <v/>
      </c>
      <c r="J80" s="14" t="str">
        <f>IF(HBsAg_Freq="Annuel",Calc_HBsAgTests!J21,"")</f>
        <v/>
      </c>
      <c r="K80" s="13" t="str">
        <f>IF(HBsAg_Freq="Annuel",HBsAg_PackSize,"")</f>
        <v/>
      </c>
      <c r="L80" s="14" t="str">
        <f>IF(HBsAg_Freq="Annuel",IF(HBsAg_PackSize="","Enter pack size",CEILING(J80/HBsAg_PackSize,1)),"")</f>
        <v/>
      </c>
    </row>
    <row r="82" spans="1:12" s="96" customFormat="1" ht="16" x14ac:dyDescent="0.4">
      <c r="A82" s="86" t="str">
        <f>IF(HBsAg_Freq="Annuel","TOTAL SUR 3 ANS","")</f>
        <v/>
      </c>
      <c r="B82" s="91"/>
      <c r="C82" s="91"/>
      <c r="D82" s="91"/>
      <c r="E82" s="91"/>
      <c r="F82" s="91"/>
      <c r="G82" s="91"/>
      <c r="H82" s="91"/>
      <c r="I82" s="91"/>
      <c r="J82" s="87" t="str">
        <f>IF(HBsAg_Freq="Annuel",SUM(J78:J80),"")</f>
        <v/>
      </c>
      <c r="K82" s="91"/>
      <c r="L82" s="87" t="str">
        <f>IF(HBsAg_Freq="Annuel",SUM(L78:L80),"")</f>
        <v/>
      </c>
    </row>
    <row r="84" spans="1:12" ht="16" x14ac:dyDescent="0.4">
      <c r="A84" s="163" t="s">
        <v>549</v>
      </c>
      <c r="B84" s="92"/>
      <c r="C84" s="92"/>
      <c r="D84" s="92"/>
      <c r="E84" s="92"/>
      <c r="F84" s="92"/>
      <c r="G84" s="92"/>
      <c r="H84" s="92"/>
      <c r="I84" s="92"/>
      <c r="J84" s="80"/>
      <c r="K84" s="92"/>
      <c r="L84" s="80"/>
    </row>
    <row r="85" spans="1:12" ht="58" x14ac:dyDescent="0.35">
      <c r="A85" s="58" t="s">
        <v>537</v>
      </c>
      <c r="B85" s="58" t="s">
        <v>538</v>
      </c>
      <c r="C85" s="57" t="s">
        <v>539</v>
      </c>
      <c r="D85" s="57" t="s">
        <v>540</v>
      </c>
      <c r="E85" s="57" t="s">
        <v>541</v>
      </c>
      <c r="F85" s="57" t="s">
        <v>542</v>
      </c>
      <c r="G85" s="57" t="s">
        <v>543</v>
      </c>
      <c r="H85" s="57" t="s">
        <v>544</v>
      </c>
      <c r="I85" s="57" t="s">
        <v>545</v>
      </c>
      <c r="J85" s="57" t="s">
        <v>546</v>
      </c>
      <c r="K85" s="57" t="s">
        <v>547</v>
      </c>
      <c r="L85" s="57" t="s">
        <v>548</v>
      </c>
    </row>
    <row r="86" spans="1:12" x14ac:dyDescent="0.35">
      <c r="A86" s="93" t="str">
        <f>IF(HBsAg_Freq="semestriel","S1","")</f>
        <v/>
      </c>
      <c r="B86" s="93" t="str">
        <f>IF(HBsAg_Freq="semestriel",1,"")</f>
        <v/>
      </c>
      <c r="C86" s="14" t="str">
        <f t="shared" ref="C86:C91" si="2">IF(HBsAg_Freq="semestriel",ANC_Population/2,"")</f>
        <v/>
      </c>
      <c r="D86" s="93" t="str">
        <f>IF(HBsAg_Freq="semestriel",HBV_Y1_Screening_Target,"")</f>
        <v/>
      </c>
      <c r="E86" s="14" t="str">
        <f>IF(HBsAg_Freq="semestriel",Calc_HBsAgTests!E6+Calc_HBsAgTests!E7,"")</f>
        <v/>
      </c>
      <c r="F86" s="14" t="str">
        <f>IF(HBsAg_Freq="semestriel",Calc_HBsAgTests!F6+Calc_HBsAgTests!F7,"")</f>
        <v/>
      </c>
      <c r="G86" s="14" t="str">
        <f>IF(HBsAg_Freq="semestriel",Calc_HBsAgTests!G6+Calc_HBsAgTests!G7,"")</f>
        <v/>
      </c>
      <c r="H86" s="14" t="str">
        <f>IF(HBsAg_Freq="semestriel",Calc_HBsAgTests!H6+Calc_HBsAgTests!H7,"")</f>
        <v/>
      </c>
      <c r="I86" s="14" t="str">
        <f>IF(HBsAg_Freq="semestriel",Calc_HBsAgTests!I6+Calc_HBsAgTests!I7,"")</f>
        <v/>
      </c>
      <c r="J86" s="14" t="str">
        <f>IF(HBsAg_Freq="semestriel",Calc_HBsAgTests!J6+Calc_HBsAgTests!J7,"")</f>
        <v/>
      </c>
      <c r="K86" s="93" t="str">
        <f t="shared" ref="K86:K91" si="3">IF(HBsAg_Freq="semestriel",HBsAg_PackSize,"")</f>
        <v/>
      </c>
      <c r="L86" s="94" t="str">
        <f t="shared" ref="L86:L91" si="4">IF(HBsAg_Freq="semestriel",IF(HBsAg_PackSize="","Enter pack size",CEILING(J86/K86,1)),"")</f>
        <v/>
      </c>
    </row>
    <row r="87" spans="1:12" x14ac:dyDescent="0.35">
      <c r="A87" s="93" t="str">
        <f>IF(HBsAg_Freq="semestriel","S2","")</f>
        <v/>
      </c>
      <c r="B87" s="93" t="str">
        <f>IF(HBsAg_Freq="semestriel",1,"")</f>
        <v/>
      </c>
      <c r="C87" s="14" t="str">
        <f t="shared" si="2"/>
        <v/>
      </c>
      <c r="D87" s="93" t="str">
        <f>IF(HBsAg_Freq="semestriel",HBV_Y1_Screening_Target,"")</f>
        <v/>
      </c>
      <c r="E87" s="14" t="str">
        <f>IF(HBsAg_Freq="semestriel",Calc_HBsAgTests!E8+Calc_HBsAgTests!E9,"")</f>
        <v/>
      </c>
      <c r="F87" s="14" t="str">
        <f>IF(HBsAg_Freq="semestriel",Calc_HBsAgTests!F8+Calc_HBsAgTests!F9,"")</f>
        <v/>
      </c>
      <c r="G87" s="14" t="str">
        <f>IF(HBsAg_Freq="semestriel",Calc_HBsAgTests!G8+Calc_HBsAgTests!G9,"")</f>
        <v/>
      </c>
      <c r="H87" s="14" t="str">
        <f>IF(HBsAg_Freq="semestriel",Calc_HBsAgTests!H8+Calc_HBsAgTests!H9,"")</f>
        <v/>
      </c>
      <c r="I87" s="14" t="str">
        <f>IF(HBsAg_Freq="semestriel",Calc_HBsAgTests!I8+Calc_HBsAgTests!I9,"")</f>
        <v/>
      </c>
      <c r="J87" s="14" t="str">
        <f>IF(HBsAg_Freq="semestriel",Calc_HBsAgTests!J8+Calc_HBsAgTests!J9,"")</f>
        <v/>
      </c>
      <c r="K87" s="93" t="str">
        <f t="shared" si="3"/>
        <v/>
      </c>
      <c r="L87" s="94" t="str">
        <f t="shared" si="4"/>
        <v/>
      </c>
    </row>
    <row r="88" spans="1:12" x14ac:dyDescent="0.35">
      <c r="A88" s="93" t="str">
        <f>IF(HBsAg_Freq="semestriel","S1","")</f>
        <v/>
      </c>
      <c r="B88" s="93" t="str">
        <f>IF(HBsAg_Freq="semestriel",2,"")</f>
        <v/>
      </c>
      <c r="C88" s="14" t="str">
        <f t="shared" si="2"/>
        <v/>
      </c>
      <c r="D88" s="93" t="str">
        <f>IF(HBsAg_Freq="semestriel",HBV_Y2_Screening_Target,"")</f>
        <v/>
      </c>
      <c r="E88" s="14" t="str">
        <f>IF(HBsAg_Freq="semestriel",Calc_HBsAgTests!E10+Calc_HBsAgTests!E11,"")</f>
        <v/>
      </c>
      <c r="F88" s="14" t="str">
        <f>IF(HBsAg_Freq="semestriel",Calc_HBsAgTests!F10+Calc_HBsAgTests!F11,"")</f>
        <v/>
      </c>
      <c r="G88" s="14" t="str">
        <f>IF(HBsAg_Freq="semestriel",Calc_HBsAgTests!G10+Calc_HBsAgTests!G11,"")</f>
        <v/>
      </c>
      <c r="H88" s="14" t="str">
        <f>IF(HBsAg_Freq="semestriel",Calc_HBsAgTests!S10+Calc_HBsAgTests!S11,"")</f>
        <v/>
      </c>
      <c r="I88" s="14" t="str">
        <f>IF(HBsAg_Freq="semestriel",Calc_HBsAgTests!I10+Calc_HBsAgTests!I11,"")</f>
        <v/>
      </c>
      <c r="J88" s="14" t="str">
        <f>IF(HBsAg_Freq="semestriel",Calc_HBsAgTests!J10+Calc_HBsAgTests!J11,"")</f>
        <v/>
      </c>
      <c r="K88" s="93" t="str">
        <f t="shared" si="3"/>
        <v/>
      </c>
      <c r="L88" s="94" t="str">
        <f t="shared" si="4"/>
        <v/>
      </c>
    </row>
    <row r="89" spans="1:12" x14ac:dyDescent="0.35">
      <c r="A89" s="93" t="str">
        <f>IF(HBsAg_Freq="semestriel","S2","")</f>
        <v/>
      </c>
      <c r="B89" s="93" t="str">
        <f>IF(HBsAg_Freq="semestriel",2,"")</f>
        <v/>
      </c>
      <c r="C89" s="14" t="str">
        <f t="shared" si="2"/>
        <v/>
      </c>
      <c r="D89" s="93" t="str">
        <f>IF(HBsAg_Freq="semestriel",HBV_Y2_Screening_Target,"")</f>
        <v/>
      </c>
      <c r="E89" s="14" t="str">
        <f>IF(HBsAg_Freq="semestriel",Calc_HBsAgTests!E12+Calc_HBsAgTests!E13,"")</f>
        <v/>
      </c>
      <c r="F89" s="14" t="str">
        <f>IF(HBsAg_Freq="semestriel",Calc_HBsAgTests!F12+Calc_HBsAgTests!F13,"")</f>
        <v/>
      </c>
      <c r="G89" s="14" t="str">
        <f>IF(HBsAg_Freq="semestriel",Calc_HBsAgTests!G12+Calc_HBsAgTests!G13,"")</f>
        <v/>
      </c>
      <c r="H89" s="14" t="str">
        <f>IF(HBsAg_Freq="semestriel",Calc_HBsAgTests!S12+Calc_HBsAgTests!S13,"")</f>
        <v/>
      </c>
      <c r="I89" s="14" t="str">
        <f>IF(HBsAg_Freq="semestriel",Calc_HBsAgTests!I12+Calc_HBsAgTests!I13,"")</f>
        <v/>
      </c>
      <c r="J89" s="14" t="str">
        <f>IF(HBsAg_Freq="semestriel",Calc_HBsAgTests!J12+Calc_HBsAgTests!J13,"")</f>
        <v/>
      </c>
      <c r="K89" s="93" t="str">
        <f t="shared" si="3"/>
        <v/>
      </c>
      <c r="L89" s="94" t="str">
        <f t="shared" si="4"/>
        <v/>
      </c>
    </row>
    <row r="90" spans="1:12" x14ac:dyDescent="0.35">
      <c r="A90" s="93" t="str">
        <f>IF(HBsAg_Freq="semestriel","S1","")</f>
        <v/>
      </c>
      <c r="B90" s="93" t="str">
        <f>IF(HBsAg_Freq="semestriel",3,"")</f>
        <v/>
      </c>
      <c r="C90" s="14" t="str">
        <f t="shared" si="2"/>
        <v/>
      </c>
      <c r="D90" s="93" t="str">
        <f>IF(HBsAg_Freq="semestriel",HBV_Y3_Screening_Target,"")</f>
        <v/>
      </c>
      <c r="E90" s="14" t="str">
        <f>IF(HBsAg_Freq="semestriel",Calc_HBsAgTests!E14+Calc_HBsAgTests!E15,"")</f>
        <v/>
      </c>
      <c r="F90" s="14" t="str">
        <f>IF(HBsAg_Freq="semestriel",Calc_HBsAgTests!F14+Calc_HBsAgTests!F15,"")</f>
        <v/>
      </c>
      <c r="G90" s="14" t="str">
        <f>IF(HBsAg_Freq="semestriel",Calc_HBsAgTests!G14+Calc_HBsAgTests!G15,"")</f>
        <v/>
      </c>
      <c r="H90" s="14" t="str">
        <f>IF(HBsAg_Freq="semestriel",Calc_HBsAgTests!S14+Calc_HBsAgTests!S15,"")</f>
        <v/>
      </c>
      <c r="I90" s="14" t="str">
        <f>IF(HBsAg_Freq="semestriel",Calc_HBsAgTests!I14+Calc_HBsAgTests!I15,"")</f>
        <v/>
      </c>
      <c r="J90" s="14" t="str">
        <f>IF(HBsAg_Freq="semestriel",Calc_HBsAgTests!J14+Calc_HBsAgTests!J15,"")</f>
        <v/>
      </c>
      <c r="K90" s="93" t="str">
        <f t="shared" si="3"/>
        <v/>
      </c>
      <c r="L90" s="94" t="str">
        <f t="shared" si="4"/>
        <v/>
      </c>
    </row>
    <row r="91" spans="1:12" x14ac:dyDescent="0.35">
      <c r="A91" s="93" t="str">
        <f>IF(HBsAg_Freq="semestriel","S2","")</f>
        <v/>
      </c>
      <c r="B91" s="93" t="str">
        <f>IF(HBsAg_Freq="semestriel",3,"")</f>
        <v/>
      </c>
      <c r="C91" s="14" t="str">
        <f t="shared" si="2"/>
        <v/>
      </c>
      <c r="D91" s="93" t="str">
        <f>IF(HBsAg_Freq="semestriel",HBV_Y3_Screening_Target,"")</f>
        <v/>
      </c>
      <c r="E91" s="14" t="str">
        <f>IF(HBsAg_Freq="semestriel",Calc_HBsAgTests!E16+Calc_HBsAgTests!E17,"")</f>
        <v/>
      </c>
      <c r="F91" s="14" t="str">
        <f>IF(HBsAg_Freq="semestriel",Calc_HBsAgTests!F16+Calc_HBsAgTests!F17,"")</f>
        <v/>
      </c>
      <c r="G91" s="14" t="str">
        <f>IF(HBsAg_Freq="semestriel",Calc_HBsAgTests!G16+Calc_HBsAgTests!G17,"")</f>
        <v/>
      </c>
      <c r="H91" s="14" t="str">
        <f>IF(HBsAg_Freq="semestriel",Calc_HBsAgTests!S16+Calc_HBsAgTests!S17,"")</f>
        <v/>
      </c>
      <c r="I91" s="14" t="str">
        <f>IF(HBsAg_Freq="semestriel",Calc_HBsAgTests!I16+Calc_HBsAgTests!I17,"")</f>
        <v/>
      </c>
      <c r="J91" s="14" t="str">
        <f>IF(HBsAg_Freq="semestriel",Calc_HBsAgTests!J16+Calc_HBsAgTests!J17,"")</f>
        <v/>
      </c>
      <c r="K91" s="93" t="str">
        <f t="shared" si="3"/>
        <v/>
      </c>
      <c r="L91" s="94" t="str">
        <f t="shared" si="4"/>
        <v/>
      </c>
    </row>
    <row r="92" spans="1:12" x14ac:dyDescent="0.35">
      <c r="A92" s="9"/>
      <c r="B92" s="9"/>
      <c r="C92" s="48"/>
      <c r="D92" s="9"/>
      <c r="E92" s="48"/>
      <c r="F92" s="48"/>
      <c r="G92" s="48"/>
      <c r="H92" s="48"/>
      <c r="I92" s="48"/>
      <c r="J92" s="95"/>
      <c r="K92" s="9"/>
      <c r="L92" s="95"/>
    </row>
    <row r="93" spans="1:12" x14ac:dyDescent="0.35">
      <c r="A93" s="24" t="str">
        <f>IF(HBsAg_Freq="semestriel","Total Année 1","")</f>
        <v/>
      </c>
      <c r="B93" s="105"/>
      <c r="C93" s="105"/>
      <c r="D93" s="105"/>
      <c r="E93" s="105"/>
      <c r="F93" s="106"/>
      <c r="G93" s="106"/>
      <c r="H93" s="107"/>
      <c r="I93" s="107"/>
      <c r="J93" s="107" t="str">
        <f>IF(HBsAg_Freq="semestriel",J86+J87,"")</f>
        <v/>
      </c>
      <c r="K93" s="107"/>
      <c r="L93" s="107" t="str">
        <f>IF(HBsAg_Freq="semestriel",L86+L87,"")</f>
        <v/>
      </c>
    </row>
    <row r="94" spans="1:12" x14ac:dyDescent="0.35">
      <c r="A94" s="24" t="str">
        <f>IF(HBsAg_Freq="semestriel","Total Année 2","")</f>
        <v/>
      </c>
      <c r="B94" s="105"/>
      <c r="C94" s="105"/>
      <c r="D94" s="105"/>
      <c r="E94" s="105"/>
      <c r="F94" s="106"/>
      <c r="G94" s="106"/>
      <c r="H94" s="107"/>
      <c r="I94" s="107"/>
      <c r="J94" s="107" t="str">
        <f>IF(HBsAg_Freq="semestriel",J88+J89,"")</f>
        <v/>
      </c>
      <c r="K94" s="107"/>
      <c r="L94" s="107" t="str">
        <f>IF(HBsAg_Freq="semestriel",L88+L89,"")</f>
        <v/>
      </c>
    </row>
    <row r="95" spans="1:12" x14ac:dyDescent="0.35">
      <c r="A95" s="24" t="str">
        <f>IF(HBsAg_Freq="semestriel","Total Année 3","")</f>
        <v/>
      </c>
      <c r="B95" s="105"/>
      <c r="C95" s="105"/>
      <c r="D95" s="105"/>
      <c r="E95" s="105"/>
      <c r="F95" s="106"/>
      <c r="G95" s="106"/>
      <c r="H95" s="107"/>
      <c r="I95" s="107"/>
      <c r="J95" s="107" t="str">
        <f>IF(HBsAg_Freq="semestriel",J90+J91,"")</f>
        <v/>
      </c>
      <c r="K95" s="107"/>
      <c r="L95" s="107" t="str">
        <f>IF(HBsAg_Freq="semestriel",L90+L91,"")</f>
        <v/>
      </c>
    </row>
    <row r="96" spans="1:12" x14ac:dyDescent="0.35">
      <c r="A96" s="9"/>
      <c r="B96" s="9"/>
      <c r="C96" s="9"/>
      <c r="D96" s="9"/>
      <c r="E96" s="9"/>
      <c r="F96" s="9"/>
      <c r="G96" s="9"/>
      <c r="H96" s="9"/>
      <c r="I96" s="9"/>
      <c r="J96" s="95"/>
      <c r="K96" s="9"/>
      <c r="L96" s="95"/>
    </row>
    <row r="97" spans="1:12" s="96" customFormat="1" ht="16" x14ac:dyDescent="0.4">
      <c r="A97" s="86" t="str">
        <f>IF(HBsAg_Freq="semestriel","TOTAL SUR 3 ANS","")</f>
        <v/>
      </c>
      <c r="B97" s="91"/>
      <c r="C97" s="91"/>
      <c r="D97" s="91"/>
      <c r="E97" s="91"/>
      <c r="F97" s="91"/>
      <c r="G97" s="91"/>
      <c r="H97" s="91"/>
      <c r="I97" s="91"/>
      <c r="J97" s="87" t="str">
        <f>IF(HBsAg_Freq="semestriel",SUM(J93:J95),"")</f>
        <v/>
      </c>
      <c r="K97" s="91"/>
      <c r="L97" s="87" t="str">
        <f>IF(HBsAg_Freq="semestriel",SUM(L93:L95),"")</f>
        <v/>
      </c>
    </row>
    <row r="99" spans="1:12" x14ac:dyDescent="0.35">
      <c r="A99" s="163" t="s">
        <v>550</v>
      </c>
    </row>
    <row r="100" spans="1:12" ht="58" x14ac:dyDescent="0.35">
      <c r="A100" s="58" t="s">
        <v>537</v>
      </c>
      <c r="B100" s="58" t="s">
        <v>538</v>
      </c>
      <c r="C100" s="57" t="s">
        <v>539</v>
      </c>
      <c r="D100" s="57" t="s">
        <v>540</v>
      </c>
      <c r="E100" s="57" t="s">
        <v>541</v>
      </c>
      <c r="F100" s="57" t="s">
        <v>542</v>
      </c>
      <c r="G100" s="57" t="s">
        <v>543</v>
      </c>
      <c r="H100" s="57" t="s">
        <v>544</v>
      </c>
      <c r="I100" s="57" t="s">
        <v>545</v>
      </c>
      <c r="J100" s="57" t="s">
        <v>546</v>
      </c>
      <c r="K100" s="57" t="s">
        <v>547</v>
      </c>
      <c r="L100" s="57" t="s">
        <v>548</v>
      </c>
    </row>
    <row r="101" spans="1:12" x14ac:dyDescent="0.35">
      <c r="A101" s="93" t="str">
        <f>IF(HBsAg_Freq="trimestriel","T1","")</f>
        <v/>
      </c>
      <c r="B101" s="93" t="str">
        <f>IF(HBsAg_Freq="trimestriel",1,"")</f>
        <v/>
      </c>
      <c r="C101" s="14" t="str">
        <f>IF(HBsAg_Freq="trimestriel",ANC_Population/4,"")</f>
        <v/>
      </c>
      <c r="D101" s="93" t="str">
        <f>IF(HBsAg_Freq="trimestriel",HBV_Y1_Screening_Target,"")</f>
        <v/>
      </c>
      <c r="E101" s="14" t="str">
        <f>IF(HBsAg_Freq="trimestriel",Calc_HBsAgTests!E6,"")</f>
        <v/>
      </c>
      <c r="F101" s="14" t="str">
        <f>IF(HBsAg_Freq="trimestriel",Calc_HBsAgTests!F6,"")</f>
        <v/>
      </c>
      <c r="G101" s="14" t="str">
        <f>IF(HBsAg_Freq="trimestriel",Calc_HBsAgTests!G6,"")</f>
        <v/>
      </c>
      <c r="H101" s="14" t="str">
        <f>IF(HBsAg_Freq="trimestriel",Calc_HBsAgTests!H6,"")</f>
        <v/>
      </c>
      <c r="I101" s="14" t="str">
        <f>IF(HBsAg_Freq="trimestriel",Calc_HBsAgTests!I6,"")</f>
        <v/>
      </c>
      <c r="J101" s="14" t="str">
        <f>IF(HBsAg_Freq="trimestriel",Calc_HBsAgTests!J6,"")</f>
        <v/>
      </c>
      <c r="K101" s="93" t="str">
        <f t="shared" ref="K101:K112" si="5">IF(HBsAg_Freq="trimestriel",HBsAg_PackSize,"")</f>
        <v/>
      </c>
      <c r="L101" s="94" t="str">
        <f t="shared" ref="L101:L112" si="6">IF(HBsAg_Freq="trimestriel",IF(HBsAg_PackSize="","Enter pack size",CEILING(J101/K101,1)),"")</f>
        <v/>
      </c>
    </row>
    <row r="102" spans="1:12" x14ac:dyDescent="0.35">
      <c r="A102" s="93" t="str">
        <f>IF(HBsAg_Freq="trimestriel","T2","")</f>
        <v/>
      </c>
      <c r="B102" s="93" t="str">
        <f>IF(HBsAg_Freq="trimestriel",1,"")</f>
        <v/>
      </c>
      <c r="C102" s="14" t="str">
        <f>IF(HBsAg_Freq="trimestriel",ANC_Population/4,"")</f>
        <v/>
      </c>
      <c r="D102" s="93" t="str">
        <f>IF(HBsAg_Freq="trimestriel",HBV_Y1_Screening_Target,"")</f>
        <v/>
      </c>
      <c r="E102" s="14" t="str">
        <f>IF(HBsAg_Freq="trimestriel",Calc_HBsAgTests!E7,"")</f>
        <v/>
      </c>
      <c r="F102" s="14" t="str">
        <f>IF(HBsAg_Freq="trimestriel",Calc_HBsAgTests!F7,"")</f>
        <v/>
      </c>
      <c r="G102" s="14" t="str">
        <f>IF(HBsAg_Freq="trimestriel",Calc_HBsAgTests!G7,"")</f>
        <v/>
      </c>
      <c r="H102" s="14" t="str">
        <f>IF(HBsAg_Freq="trimestriel",Calc_HBsAgTests!H7,"")</f>
        <v/>
      </c>
      <c r="I102" s="14" t="str">
        <f>IF(HBsAg_Freq="trimestriel",Calc_HBsAgTests!I7,"")</f>
        <v/>
      </c>
      <c r="J102" s="14" t="str">
        <f>IF(HBsAg_Freq="trimestriel",Calc_HBsAgTests!J7,"")</f>
        <v/>
      </c>
      <c r="K102" s="93" t="str">
        <f t="shared" si="5"/>
        <v/>
      </c>
      <c r="L102" s="94" t="str">
        <f t="shared" si="6"/>
        <v/>
      </c>
    </row>
    <row r="103" spans="1:12" x14ac:dyDescent="0.35">
      <c r="A103" s="93" t="str">
        <f>IF(HBsAg_Freq="trimestriel","T3","")</f>
        <v/>
      </c>
      <c r="B103" s="93" t="str">
        <f>IF(HBsAg_Freq="trimestriel",1,"")</f>
        <v/>
      </c>
      <c r="C103" s="14" t="str">
        <f>IF(HBsAg_Freq="trimestriel",ANC_Population/4,"")</f>
        <v/>
      </c>
      <c r="D103" s="93" t="str">
        <f>IF(HBsAg_Freq="trimestriel",HBV_Y1_Screening_Target,"")</f>
        <v/>
      </c>
      <c r="E103" s="14" t="str">
        <f>IF(HBsAg_Freq="trimestriel",Calc_HBsAgTests!E8,"")</f>
        <v/>
      </c>
      <c r="F103" s="14" t="str">
        <f>IF(HBsAg_Freq="trimestriel",Calc_HBsAgTests!F8,"")</f>
        <v/>
      </c>
      <c r="G103" s="14" t="str">
        <f>IF(HBsAg_Freq="trimestriel",Calc_HBsAgTests!G8,"")</f>
        <v/>
      </c>
      <c r="H103" s="14" t="str">
        <f>IF(HBsAg_Freq="trimestriel",Calc_HBsAgTests!H8,"")</f>
        <v/>
      </c>
      <c r="I103" s="14" t="str">
        <f>IF(HBsAg_Freq="trimestriel",Calc_HBsAgTests!I8,"")</f>
        <v/>
      </c>
      <c r="J103" s="14" t="str">
        <f>IF(HBsAg_Freq="trimestriel",Calc_HBsAgTests!J8,"")</f>
        <v/>
      </c>
      <c r="K103" s="93" t="str">
        <f t="shared" si="5"/>
        <v/>
      </c>
      <c r="L103" s="94" t="str">
        <f t="shared" si="6"/>
        <v/>
      </c>
    </row>
    <row r="104" spans="1:12" x14ac:dyDescent="0.35">
      <c r="A104" s="93" t="str">
        <f>IF(HBsAg_Freq="trimestriel","T4","")</f>
        <v/>
      </c>
      <c r="B104" s="93" t="str">
        <f>IF(HBsAg_Freq="trimestriel",1,"")</f>
        <v/>
      </c>
      <c r="C104" s="14" t="str">
        <f>IF(HBsAg_Freq="trimestriel",ANC_Population/4,"")</f>
        <v/>
      </c>
      <c r="D104" s="93" t="str">
        <f>IF(HBsAg_Freq="trimestriel",HBV_Y1_Screening_Target,"")</f>
        <v/>
      </c>
      <c r="E104" s="14" t="str">
        <f>IF(HBsAg_Freq="trimestriel",Calc_HBsAgTests!E9,"")</f>
        <v/>
      </c>
      <c r="F104" s="14" t="str">
        <f>IF(HBsAg_Freq="trimestriel",Calc_HBsAgTests!F9,"")</f>
        <v/>
      </c>
      <c r="G104" s="14" t="str">
        <f>IF(HBsAg_Freq="trimestriel",Calc_HBsAgTests!G9,"")</f>
        <v/>
      </c>
      <c r="H104" s="14" t="str">
        <f>IF(HBsAg_Freq="trimestriel",Calc_HBsAgTests!H9,"")</f>
        <v/>
      </c>
      <c r="I104" s="14" t="str">
        <f>IF(HBsAg_Freq="trimestriel",Calc_HBsAgTests!I9,"")</f>
        <v/>
      </c>
      <c r="J104" s="14" t="str">
        <f>IF(HBsAg_Freq="trimestriel",Calc_HBsAgTests!J9,"")</f>
        <v/>
      </c>
      <c r="K104" s="93" t="str">
        <f t="shared" si="5"/>
        <v/>
      </c>
      <c r="L104" s="94" t="str">
        <f t="shared" si="6"/>
        <v/>
      </c>
    </row>
    <row r="105" spans="1:12" x14ac:dyDescent="0.35">
      <c r="A105" s="93" t="str">
        <f>IF(HBsAg_Freq="trimestriel","T1","")</f>
        <v/>
      </c>
      <c r="B105" s="93" t="str">
        <f>IF(HBsAg_Freq="trimestriel",2,"")</f>
        <v/>
      </c>
      <c r="C105" s="14" t="str">
        <f>IF(HBsAg_Freq="trimestriel",ANC_Population*(1+Pop_Growth_Rate/100)/4,"")</f>
        <v/>
      </c>
      <c r="D105" s="93" t="str">
        <f>IF(HBsAg_Freq="trimestriel",HBV_Y2_Screening_Target,"")</f>
        <v/>
      </c>
      <c r="E105" s="14" t="str">
        <f>IF(HBsAg_Freq="trimestriel",Calc_HBsAgTests!E10,"")</f>
        <v/>
      </c>
      <c r="F105" s="14" t="str">
        <f>IF(HBsAg_Freq="trimestriel",Calc_HBsAgTests!F10,"")</f>
        <v/>
      </c>
      <c r="G105" s="14" t="str">
        <f>IF(HBsAg_Freq="trimestriel",Calc_HBsAgTests!G10,"")</f>
        <v/>
      </c>
      <c r="H105" s="14" t="str">
        <f>IF(HBsAg_Freq="trimestriel",Calc_HBsAgTests!S10,"")</f>
        <v/>
      </c>
      <c r="I105" s="14" t="str">
        <f>IF(HBsAg_Freq="trimestriel",Calc_HBsAgTests!I10,"")</f>
        <v/>
      </c>
      <c r="J105" s="14" t="str">
        <f>IF(HBsAg_Freq="trimestriel",Calc_HBsAgTests!J10,"")</f>
        <v/>
      </c>
      <c r="K105" s="93" t="str">
        <f t="shared" si="5"/>
        <v/>
      </c>
      <c r="L105" s="94" t="str">
        <f t="shared" si="6"/>
        <v/>
      </c>
    </row>
    <row r="106" spans="1:12" x14ac:dyDescent="0.35">
      <c r="A106" s="93" t="str">
        <f>IF(HBsAg_Freq="trimestriel","T2","")</f>
        <v/>
      </c>
      <c r="B106" s="93" t="str">
        <f>IF(HBsAg_Freq="trimestriel",2,"")</f>
        <v/>
      </c>
      <c r="C106" s="14" t="str">
        <f>IF(HBsAg_Freq="trimestriel",ANC_Population*(1+Pop_Growth_Rate/100)/4,"")</f>
        <v/>
      </c>
      <c r="D106" s="93" t="str">
        <f>IF(HBsAg_Freq="trimestriel",HBV_Y2_Screening_Target,"")</f>
        <v/>
      </c>
      <c r="E106" s="14" t="str">
        <f>IF(HBsAg_Freq="trimestriel",Calc_HBsAgTests!E11,"")</f>
        <v/>
      </c>
      <c r="F106" s="14" t="str">
        <f>IF(HBsAg_Freq="trimestriel",Calc_HBsAgTests!F11,"")</f>
        <v/>
      </c>
      <c r="G106" s="14" t="str">
        <f>IF(HBsAg_Freq="trimestriel",Calc_HBsAgTests!G11,"")</f>
        <v/>
      </c>
      <c r="H106" s="14" t="str">
        <f>IF(HBsAg_Freq="trimestriel",Calc_HBsAgTests!S11,"")</f>
        <v/>
      </c>
      <c r="I106" s="14" t="str">
        <f>IF(HBsAg_Freq="trimestriel",Calc_HBsAgTests!I11,"")</f>
        <v/>
      </c>
      <c r="J106" s="14" t="str">
        <f>IF(HBsAg_Freq="trimestriel",Calc_HBsAgTests!J11,"")</f>
        <v/>
      </c>
      <c r="K106" s="93" t="str">
        <f t="shared" si="5"/>
        <v/>
      </c>
      <c r="L106" s="94" t="str">
        <f t="shared" si="6"/>
        <v/>
      </c>
    </row>
    <row r="107" spans="1:12" x14ac:dyDescent="0.35">
      <c r="A107" s="93" t="str">
        <f>IF(HBsAg_Freq="trimestriel","T3","")</f>
        <v/>
      </c>
      <c r="B107" s="93" t="str">
        <f>IF(HBsAg_Freq="trimestriel",2,"")</f>
        <v/>
      </c>
      <c r="C107" s="14" t="str">
        <f>IF(HBsAg_Freq="trimestriel",ANC_Population*(1+Pop_Growth_Rate/100)/4,"")</f>
        <v/>
      </c>
      <c r="D107" s="93" t="str">
        <f>IF(HBsAg_Freq="trimestriel",HBV_Y2_Screening_Target,"")</f>
        <v/>
      </c>
      <c r="E107" s="14" t="str">
        <f>IF(HBsAg_Freq="trimestriel",Calc_HBsAgTests!E12,"")</f>
        <v/>
      </c>
      <c r="F107" s="14" t="str">
        <f>IF(HBsAg_Freq="trimestriel",Calc_HBsAgTests!F12,"")</f>
        <v/>
      </c>
      <c r="G107" s="14" t="str">
        <f>IF(HBsAg_Freq="trimestriel",Calc_HBsAgTests!G12,"")</f>
        <v/>
      </c>
      <c r="H107" s="14" t="str">
        <f>IF(HBsAg_Freq="trimestriel",Calc_HBsAgTests!S12,"")</f>
        <v/>
      </c>
      <c r="I107" s="14" t="str">
        <f>IF(HBsAg_Freq="trimestriel",Calc_HBsAgTests!I12,"")</f>
        <v/>
      </c>
      <c r="J107" s="14" t="str">
        <f>IF(HBsAg_Freq="trimestriel",Calc_HBsAgTests!J12,"")</f>
        <v/>
      </c>
      <c r="K107" s="93" t="str">
        <f t="shared" si="5"/>
        <v/>
      </c>
      <c r="L107" s="94" t="str">
        <f t="shared" si="6"/>
        <v/>
      </c>
    </row>
    <row r="108" spans="1:12" x14ac:dyDescent="0.35">
      <c r="A108" s="93" t="str">
        <f>IF(HBsAg_Freq="trimestriel","T4","")</f>
        <v/>
      </c>
      <c r="B108" s="93" t="str">
        <f>IF(HBsAg_Freq="trimestriel",2,"")</f>
        <v/>
      </c>
      <c r="C108" s="14" t="str">
        <f>IF(HBsAg_Freq="trimestriel",ANC_Population*(1+Pop_Growth_Rate/100)/4,"")</f>
        <v/>
      </c>
      <c r="D108" s="93" t="str">
        <f>IF(HBsAg_Freq="trimestriel",HBV_Y2_Screening_Target,"")</f>
        <v/>
      </c>
      <c r="E108" s="14" t="str">
        <f>IF(HBsAg_Freq="trimestriel",Calc_HBsAgTests!E13,"")</f>
        <v/>
      </c>
      <c r="F108" s="14" t="str">
        <f>IF(HBsAg_Freq="trimestriel",Calc_HBsAgTests!F13,"")</f>
        <v/>
      </c>
      <c r="G108" s="14" t="str">
        <f>IF(HBsAg_Freq="trimestriel",Calc_HBsAgTests!G13,"")</f>
        <v/>
      </c>
      <c r="H108" s="14" t="str">
        <f>IF(HBsAg_Freq="trimestriel",Calc_HBsAgTests!S13,"")</f>
        <v/>
      </c>
      <c r="I108" s="14" t="str">
        <f>IF(HBsAg_Freq="trimestriel",Calc_HBsAgTests!I13,"")</f>
        <v/>
      </c>
      <c r="J108" s="14" t="str">
        <f>IF(HBsAg_Freq="trimestriel",Calc_HBsAgTests!J13,"")</f>
        <v/>
      </c>
      <c r="K108" s="93" t="str">
        <f t="shared" si="5"/>
        <v/>
      </c>
      <c r="L108" s="94" t="str">
        <f t="shared" si="6"/>
        <v/>
      </c>
    </row>
    <row r="109" spans="1:12" x14ac:dyDescent="0.35">
      <c r="A109" s="93" t="str">
        <f>IF(HBsAg_Freq="trimestriel","T1","")</f>
        <v/>
      </c>
      <c r="B109" s="93" t="str">
        <f>IF(HBsAg_Freq="trimestriel",3,"")</f>
        <v/>
      </c>
      <c r="C109" s="14" t="str">
        <f>IF(HBsAg_Freq="trimestriel",ANC_Population*(1+Pop_Growth_Rate/100)^2/4,"")</f>
        <v/>
      </c>
      <c r="D109" s="93" t="str">
        <f>IF(HBsAg_Freq="trimestriel",HBV_Y3_Screening_Target,"")</f>
        <v/>
      </c>
      <c r="E109" s="14" t="str">
        <f>IF(HBsAg_Freq="trimestriel",Calc_HBsAgTests!E14,"")</f>
        <v/>
      </c>
      <c r="F109" s="14" t="str">
        <f>IF(HBsAg_Freq="trimestriel",Calc_HBsAgTests!F14,"")</f>
        <v/>
      </c>
      <c r="G109" s="14" t="str">
        <f>IF(HBsAg_Freq="trimestriel",Calc_HBsAgTests!G14,"")</f>
        <v/>
      </c>
      <c r="H109" s="14" t="str">
        <f>IF(HBsAg_Freq="trimestriel",Calc_HBsAgTests!S14,"")</f>
        <v/>
      </c>
      <c r="I109" s="14" t="str">
        <f>IF(HBsAg_Freq="trimestriel",Calc_HBsAgTests!I14,"")</f>
        <v/>
      </c>
      <c r="J109" s="14" t="str">
        <f>IF(HBsAg_Freq="trimestriel",Calc_HBsAgTests!J14,"")</f>
        <v/>
      </c>
      <c r="K109" s="93" t="str">
        <f t="shared" si="5"/>
        <v/>
      </c>
      <c r="L109" s="94" t="str">
        <f t="shared" si="6"/>
        <v/>
      </c>
    </row>
    <row r="110" spans="1:12" x14ac:dyDescent="0.35">
      <c r="A110" s="93" t="str">
        <f>IF(HBsAg_Freq="trimestriel","T2","")</f>
        <v/>
      </c>
      <c r="B110" s="93" t="str">
        <f>IF(HBsAg_Freq="trimestriel",3,"")</f>
        <v/>
      </c>
      <c r="C110" s="14" t="str">
        <f>IF(HBsAg_Freq="trimestriel",ANC_Population*(1+Pop_Growth_Rate/100)^2/4,"")</f>
        <v/>
      </c>
      <c r="D110" s="93" t="str">
        <f>IF(HBsAg_Freq="trimestriel",HBV_Y3_Screening_Target,"")</f>
        <v/>
      </c>
      <c r="E110" s="14" t="str">
        <f>IF(HBsAg_Freq="trimestriel",Calc_HBsAgTests!E15,"")</f>
        <v/>
      </c>
      <c r="F110" s="14" t="str">
        <f>IF(HBsAg_Freq="trimestriel",Calc_HBsAgTests!F15,"")</f>
        <v/>
      </c>
      <c r="G110" s="14" t="str">
        <f>IF(HBsAg_Freq="trimestriel",Calc_HBsAgTests!G15,"")</f>
        <v/>
      </c>
      <c r="H110" s="14" t="str">
        <f>IF(HBsAg_Freq="trimestriel",Calc_HBsAgTests!S15,"")</f>
        <v/>
      </c>
      <c r="I110" s="14" t="str">
        <f>IF(HBsAg_Freq="trimestriel",Calc_HBsAgTests!I15,"")</f>
        <v/>
      </c>
      <c r="J110" s="14" t="str">
        <f>IF(HBsAg_Freq="trimestriel",Calc_HBsAgTests!J15,"")</f>
        <v/>
      </c>
      <c r="K110" s="93" t="str">
        <f t="shared" si="5"/>
        <v/>
      </c>
      <c r="L110" s="94" t="str">
        <f t="shared" si="6"/>
        <v/>
      </c>
    </row>
    <row r="111" spans="1:12" x14ac:dyDescent="0.35">
      <c r="A111" s="93" t="str">
        <f>IF(HBsAg_Freq="trimestriel","T3","")</f>
        <v/>
      </c>
      <c r="B111" s="93" t="str">
        <f>IF(HBsAg_Freq="trimestriel",3,"")</f>
        <v/>
      </c>
      <c r="C111" s="14" t="str">
        <f>IF(HBsAg_Freq="trimestriel",ANC_Population*(1+Pop_Growth_Rate/100)^2/4,"")</f>
        <v/>
      </c>
      <c r="D111" s="93" t="str">
        <f>IF(HBsAg_Freq="trimestriel",HBV_Y3_Screening_Target,"")</f>
        <v/>
      </c>
      <c r="E111" s="14" t="str">
        <f>IF(HBsAg_Freq="trimestriel",Calc_HBsAgTests!E16,"")</f>
        <v/>
      </c>
      <c r="F111" s="14" t="str">
        <f>IF(HBsAg_Freq="trimestriel",Calc_HBsAgTests!F16,"")</f>
        <v/>
      </c>
      <c r="G111" s="14" t="str">
        <f>IF(HBsAg_Freq="trimestriel",Calc_HBsAgTests!G16,"")</f>
        <v/>
      </c>
      <c r="H111" s="14" t="str">
        <f>IF(HBsAg_Freq="trimestriel",Calc_HBsAgTests!S16,"")</f>
        <v/>
      </c>
      <c r="I111" s="14" t="str">
        <f>IF(HBsAg_Freq="trimestriel",Calc_HBsAgTests!I16,"")</f>
        <v/>
      </c>
      <c r="J111" s="14" t="str">
        <f>IF(HBsAg_Freq="trimestriel",Calc_HBsAgTests!J16,"")</f>
        <v/>
      </c>
      <c r="K111" s="93" t="str">
        <f t="shared" si="5"/>
        <v/>
      </c>
      <c r="L111" s="94" t="str">
        <f t="shared" si="6"/>
        <v/>
      </c>
    </row>
    <row r="112" spans="1:12" x14ac:dyDescent="0.35">
      <c r="A112" s="93" t="str">
        <f>IF(HBsAg_Freq="trimestriel","T4","")</f>
        <v/>
      </c>
      <c r="B112" s="93" t="str">
        <f>IF(HBsAg_Freq="trimestriel",3,"")</f>
        <v/>
      </c>
      <c r="C112" s="14" t="str">
        <f>IF(HBsAg_Freq="trimestriel",ANC_Population*(1+Pop_Growth_Rate/100)^2/4,"")</f>
        <v/>
      </c>
      <c r="D112" s="93" t="str">
        <f>IF(HBsAg_Freq="trimestriel",HBV_Y3_Screening_Target,"")</f>
        <v/>
      </c>
      <c r="E112" s="14" t="str">
        <f>IF(HBsAg_Freq="trimestriel",Calc_HBsAgTests!E17,"")</f>
        <v/>
      </c>
      <c r="F112" s="14" t="str">
        <f>IF(HBsAg_Freq="trimestriel",Calc_HBsAgTests!F17,"")</f>
        <v/>
      </c>
      <c r="G112" s="14" t="str">
        <f>IF(HBsAg_Freq="trimestriel",Calc_HBsAgTests!G17,"")</f>
        <v/>
      </c>
      <c r="H112" s="14" t="str">
        <f>IF(HBsAg_Freq="trimestriel",Calc_HBsAgTests!S17,"")</f>
        <v/>
      </c>
      <c r="I112" s="14" t="str">
        <f>IF(HBsAg_Freq="trimestriel",Calc_HBsAgTests!I17,"")</f>
        <v/>
      </c>
      <c r="J112" s="14" t="str">
        <f>IF(HBsAg_Freq="trimestriel",Calc_HBsAgTests!J17,"")</f>
        <v/>
      </c>
      <c r="K112" s="93" t="str">
        <f t="shared" si="5"/>
        <v/>
      </c>
      <c r="L112" s="94" t="str">
        <f t="shared" si="6"/>
        <v/>
      </c>
    </row>
    <row r="113" spans="1:12" x14ac:dyDescent="0.35">
      <c r="A113" s="9"/>
      <c r="B113" s="9"/>
      <c r="C113" s="48"/>
      <c r="D113" s="9"/>
      <c r="E113" s="48"/>
      <c r="F113" s="48"/>
      <c r="G113" s="48"/>
      <c r="H113" s="48"/>
      <c r="I113" s="48"/>
      <c r="J113" s="95"/>
      <c r="K113" s="9"/>
      <c r="L113" s="95"/>
    </row>
    <row r="114" spans="1:12" x14ac:dyDescent="0.35">
      <c r="A114" s="24" t="str">
        <f>IF(HBsAg_Freq="trimestriel","Total Année 1","")</f>
        <v/>
      </c>
      <c r="B114" s="105"/>
      <c r="C114" s="105"/>
      <c r="D114" s="105"/>
      <c r="E114" s="105"/>
      <c r="F114" s="106"/>
      <c r="G114" s="106"/>
      <c r="H114" s="107"/>
      <c r="I114" s="107"/>
      <c r="J114" s="107" t="str">
        <f>IF(HBsAg_Freq="trimestriel",SUM(J101:J104),"")</f>
        <v/>
      </c>
      <c r="K114" s="107"/>
      <c r="L114" s="107" t="str">
        <f>IF(HBsAg_Freq="trimestriel",SUM(L101:L104),"")</f>
        <v/>
      </c>
    </row>
    <row r="115" spans="1:12" x14ac:dyDescent="0.35">
      <c r="A115" s="24" t="str">
        <f>IF(HBsAg_Freq="trimestriel","Total Année 2","")</f>
        <v/>
      </c>
      <c r="B115" s="105"/>
      <c r="C115" s="105"/>
      <c r="D115" s="105"/>
      <c r="E115" s="105"/>
      <c r="F115" s="106"/>
      <c r="G115" s="106"/>
      <c r="H115" s="107"/>
      <c r="I115" s="107"/>
      <c r="J115" s="107" t="str">
        <f>IF(HBsAg_Freq="trimestriel",SUM(J105:J108),"")</f>
        <v/>
      </c>
      <c r="K115" s="107"/>
      <c r="L115" s="107" t="str">
        <f>IF(HBsAg_Freq="trimestriel",SUM(L105:L108),"")</f>
        <v/>
      </c>
    </row>
    <row r="116" spans="1:12" x14ac:dyDescent="0.35">
      <c r="A116" s="24" t="str">
        <f>IF(HBsAg_Freq="trimestriel","Total Année 3","")</f>
        <v/>
      </c>
      <c r="B116" s="105"/>
      <c r="C116" s="105"/>
      <c r="D116" s="105"/>
      <c r="E116" s="105"/>
      <c r="F116" s="106"/>
      <c r="G116" s="106"/>
      <c r="H116" s="107"/>
      <c r="I116" s="107"/>
      <c r="J116" s="107" t="str">
        <f>IF(HBsAg_Freq="trimestriel",SUM(J109:J112),"")</f>
        <v/>
      </c>
      <c r="K116" s="107"/>
      <c r="L116" s="107" t="str">
        <f>IF(HBsAg_Freq="trimestriel",SUM(L109:L112),"")</f>
        <v/>
      </c>
    </row>
    <row r="117" spans="1:12" x14ac:dyDescent="0.35">
      <c r="A117" s="9"/>
      <c r="B117" s="9"/>
      <c r="C117" s="9"/>
      <c r="D117" s="9"/>
      <c r="E117" s="9"/>
      <c r="F117" s="9"/>
      <c r="G117" s="9"/>
      <c r="H117" s="9"/>
      <c r="I117" s="9"/>
      <c r="J117" s="95"/>
      <c r="K117" s="9"/>
      <c r="L117" s="95"/>
    </row>
    <row r="118" spans="1:12" s="96" customFormat="1" ht="16" x14ac:dyDescent="0.4">
      <c r="A118" s="86" t="str">
        <f>IF(HBsAg_Freq="trimestriel","TOTAL SUR 3 ANS","")</f>
        <v/>
      </c>
      <c r="B118" s="91"/>
      <c r="C118" s="91"/>
      <c r="D118" s="91"/>
      <c r="E118" s="91"/>
      <c r="F118" s="91"/>
      <c r="G118" s="91"/>
      <c r="H118" s="91"/>
      <c r="I118" s="91"/>
      <c r="J118" s="87" t="str">
        <f>IF(HBsAg_Freq="trimestriel",SUM(J114:J116),"")</f>
        <v/>
      </c>
      <c r="K118" s="91"/>
      <c r="L118" s="87" t="str">
        <f>IF(HBsAg_Freq="trimestriel",SUM(L114:L116),"")</f>
        <v/>
      </c>
    </row>
    <row r="120" spans="1:12" x14ac:dyDescent="0.35">
      <c r="A120" s="97" t="s">
        <v>100</v>
      </c>
      <c r="B120" s="98" t="str">
        <f>IF(HBsAg_Freq="Annuel",L78,IF(HBsAg_Freq="semestriel",L93,IF(HBsAg_Freq="trimestriel",L114,"")))</f>
        <v/>
      </c>
    </row>
    <row r="121" spans="1:12" x14ac:dyDescent="0.35">
      <c r="A121" s="97" t="s">
        <v>101</v>
      </c>
      <c r="B121" s="98" t="str">
        <f>IF(HBsAg_Freq="Annuel",L79,IF(HBsAg_Freq="semestriel",L94,IF(HBsAg_Freq="trimestriel",L115,"")))</f>
        <v/>
      </c>
    </row>
    <row r="122" spans="1:12" x14ac:dyDescent="0.35">
      <c r="A122" s="97" t="s">
        <v>102</v>
      </c>
      <c r="B122" s="98" t="str">
        <f>IF(HBsAg_Freq="Annuel",L80,IF(HBsAg_Freq="semestriel",L95,IF(HBsAg_Freq="trimestriel",L116,"")))</f>
        <v/>
      </c>
    </row>
    <row r="123" spans="1:12" x14ac:dyDescent="0.35">
      <c r="A123" s="97" t="s">
        <v>103</v>
      </c>
      <c r="B123" s="98" t="str">
        <f>IFERROR(B120+B121+B122,"")</f>
        <v/>
      </c>
    </row>
    <row r="124" spans="1:12" ht="15" thickBot="1" x14ac:dyDescent="0.4">
      <c r="A124" s="97"/>
      <c r="B124" s="98"/>
    </row>
    <row r="125" spans="1:12" ht="16.5" thickBot="1" x14ac:dyDescent="0.45">
      <c r="A125" s="374" t="s">
        <v>552</v>
      </c>
      <c r="B125" s="375"/>
      <c r="C125" s="375"/>
      <c r="D125" s="375"/>
      <c r="E125" s="375"/>
      <c r="F125" s="375"/>
      <c r="G125" s="375"/>
      <c r="H125" s="375"/>
      <c r="I125" s="375"/>
      <c r="J125" s="375"/>
      <c r="K125" s="375"/>
      <c r="L125" s="376"/>
    </row>
    <row r="127" spans="1:12" x14ac:dyDescent="0.35">
      <c r="A127" s="163" t="s">
        <v>536</v>
      </c>
    </row>
    <row r="128" spans="1:12" ht="58" x14ac:dyDescent="0.35">
      <c r="A128" s="58" t="s">
        <v>537</v>
      </c>
      <c r="B128" s="58" t="s">
        <v>538</v>
      </c>
      <c r="C128" s="57" t="s">
        <v>539</v>
      </c>
      <c r="D128" s="57" t="s">
        <v>540</v>
      </c>
      <c r="E128" s="57" t="s">
        <v>541</v>
      </c>
      <c r="F128" s="57" t="s">
        <v>542</v>
      </c>
      <c r="G128" s="57" t="s">
        <v>543</v>
      </c>
      <c r="H128" s="57" t="s">
        <v>544</v>
      </c>
      <c r="I128" s="57" t="s">
        <v>545</v>
      </c>
      <c r="J128" s="57" t="s">
        <v>546</v>
      </c>
      <c r="K128" s="57" t="s">
        <v>547</v>
      </c>
      <c r="L128" s="57" t="s">
        <v>548</v>
      </c>
    </row>
    <row r="129" spans="1:12" x14ac:dyDescent="0.35">
      <c r="A129" s="36" t="str">
        <f>IF(TripleTest_Freq="Annuel","Année 1","")</f>
        <v/>
      </c>
      <c r="B129" s="13" t="str">
        <f>IF(TripleTest_Freq="Annuel",1,"")</f>
        <v/>
      </c>
      <c r="C129" s="14" t="str">
        <f>IF(TripleTest_Freq="Annuel",ANC_Population,"")</f>
        <v/>
      </c>
      <c r="D129" s="14" t="str">
        <f>IF(TripleTest_Freq="Annuel",Y1_Screening_Target,"")</f>
        <v/>
      </c>
      <c r="E129" s="14" t="str">
        <f>IF(TripleTest_Freq="Annuel",Calc_TripleTests!E19,"")</f>
        <v/>
      </c>
      <c r="F129" s="14" t="str">
        <f>IF(TripleTest_Freq="Annuel",Calc_TripleTests!F19,"")</f>
        <v/>
      </c>
      <c r="G129" s="14" t="str">
        <f>IF(TripleTest_Freq="Annuel",Calc_TripleTests!G19,"")</f>
        <v/>
      </c>
      <c r="H129" s="14" t="str">
        <f>IF(TripleTest_Freq="Annuel",Calc_TripleTests!S19,"")</f>
        <v/>
      </c>
      <c r="I129" s="14" t="str">
        <f>IF(TripleTest_Freq="Annuel",Calc_TripleTests!I19,"")</f>
        <v/>
      </c>
      <c r="J129" s="14" t="str">
        <f>IF(TripleTest_Freq="Annuel",Calc_TripleTests!J19,"")</f>
        <v/>
      </c>
      <c r="K129" s="13" t="str">
        <f>IF(TripleTest_Freq="Annuel",TripleTest_PackSize,"")</f>
        <v/>
      </c>
      <c r="L129" s="14" t="str">
        <f>IF(TripleTest_Freq="Annuel",IF(TripleTest_PackSize="","Enter pack size",CEILING(Calc_TripleTests!J19/TripleTest_PackSize,1)),"")</f>
        <v/>
      </c>
    </row>
    <row r="130" spans="1:12" x14ac:dyDescent="0.35">
      <c r="A130" s="36" t="str">
        <f>IF(TripleTest_Freq="Annuel","Année 2","")</f>
        <v/>
      </c>
      <c r="B130" s="13" t="str">
        <f>IF(TripleTest_Freq="Annuel",2,"")</f>
        <v/>
      </c>
      <c r="C130" s="14" t="str">
        <f>IF(TripleTest_Freq="Annuel",ANC_Population*(1+Pop_Growth_Rate/100),"")</f>
        <v/>
      </c>
      <c r="D130" s="14" t="str">
        <f>IF(TripleTest_Freq="Annuel",Y2_Screening_Target,"")</f>
        <v/>
      </c>
      <c r="E130" s="14" t="str">
        <f>IF(TripleTest_Freq="Annuel",Calc_TripleTests!E20,"")</f>
        <v/>
      </c>
      <c r="F130" s="14" t="str">
        <f>IF(TripleTest_Freq="Annuel",Calc_TripleTests!F20,"")</f>
        <v/>
      </c>
      <c r="G130" s="14" t="str">
        <f>IF(TripleTest_Freq="Annuel",Calc_TripleTests!G20,"")</f>
        <v/>
      </c>
      <c r="H130" s="14" t="str">
        <f>IF(TripleTest_Freq="Annuel",Calc_TripleTests!S20,"")</f>
        <v/>
      </c>
      <c r="I130" s="14" t="str">
        <f>IF(TripleTest_Freq="Annuel",Calc_TripleTests!I20,"")</f>
        <v/>
      </c>
      <c r="J130" s="14" t="str">
        <f>IF(TripleTest_Freq="Annuel",Calc_TripleTests!J20,"")</f>
        <v/>
      </c>
      <c r="K130" s="13" t="str">
        <f>IF(TripleTest_Freq="Annuel",TripleTest_PackSize,"")</f>
        <v/>
      </c>
      <c r="L130" s="14" t="str">
        <f>IF(TripleTest_Freq="Annuel",IF(TripleTest_PackSize="","Enter pack size",CEILING(Calc_TripleTests!J20/TripleTest_PackSize,1)),"")</f>
        <v/>
      </c>
    </row>
    <row r="131" spans="1:12" x14ac:dyDescent="0.35">
      <c r="A131" s="36" t="str">
        <f>IF(TripleTest_Freq="Annuel","Année 3","")</f>
        <v/>
      </c>
      <c r="B131" s="13" t="str">
        <f>IF(TripleTest_Freq="Annuel",3,"")</f>
        <v/>
      </c>
      <c r="C131" s="14" t="str">
        <f>IF(TripleTest_Freq="Annuel",ANC_Population*(1+Pop_Growth_Rate/100)^2,"")</f>
        <v/>
      </c>
      <c r="D131" s="14" t="str">
        <f>IF(TripleTest_Freq="Annuel",Y3_Screening_Target,"")</f>
        <v/>
      </c>
      <c r="E131" s="14" t="str">
        <f>IF(TripleTest_Freq="Annuel",Calc_TripleTests!E21,"")</f>
        <v/>
      </c>
      <c r="F131" s="14" t="str">
        <f>IF(TripleTest_Freq="Annuel",Calc_TripleTests!F21,"")</f>
        <v/>
      </c>
      <c r="G131" s="14" t="str">
        <f>IF(TripleTest_Freq="Annuel",Calc_TripleTests!G21,"")</f>
        <v/>
      </c>
      <c r="H131" s="14" t="str">
        <f>IF(TripleTest_Freq="Annuel",Calc_TripleTests!S21,"")</f>
        <v/>
      </c>
      <c r="I131" s="14" t="str">
        <f>IF(TripleTest_Freq="Annuel",Calc_TripleTests!I21,"")</f>
        <v/>
      </c>
      <c r="J131" s="14" t="str">
        <f>IF(TripleTest_Freq="Annuel",Calc_TripleTests!J21,"")</f>
        <v/>
      </c>
      <c r="K131" s="13" t="str">
        <f>IF(TripleTest_Freq="Annuel",TripleTest_PackSize,"")</f>
        <v/>
      </c>
      <c r="L131" s="14" t="str">
        <f>IF(TripleTest_Freq="Annuel",IF(TripleTest_PackSize="","Enter pack size",CEILING(Calc_TripleTests!J21/TripleTest_PackSize,1)),"")</f>
        <v/>
      </c>
    </row>
    <row r="133" spans="1:12" s="96" customFormat="1" ht="16" x14ac:dyDescent="0.4">
      <c r="A133" s="86" t="str">
        <f>IF(TripleTest_Freq="Annuel","TOTAL SUR 3 ANS","")</f>
        <v/>
      </c>
      <c r="B133" s="91"/>
      <c r="C133" s="91"/>
      <c r="D133" s="91"/>
      <c r="E133" s="91"/>
      <c r="F133" s="91"/>
      <c r="G133" s="91"/>
      <c r="H133" s="91"/>
      <c r="I133" s="91"/>
      <c r="J133" s="87" t="str">
        <f>IF(TripleTest_Freq="Annuel",Calc_TripleTests!J23,"")</f>
        <v/>
      </c>
      <c r="K133" s="91"/>
      <c r="L133" s="87" t="str">
        <f>IF(TripleTest_Freq="Annuel",SUM(L129:L131),"")</f>
        <v/>
      </c>
    </row>
    <row r="135" spans="1:12" ht="16" x14ac:dyDescent="0.4">
      <c r="A135" s="163" t="s">
        <v>549</v>
      </c>
      <c r="B135" s="92"/>
      <c r="C135" s="92"/>
      <c r="D135" s="92"/>
      <c r="E135" s="92"/>
      <c r="F135" s="92"/>
      <c r="G135" s="92"/>
      <c r="H135" s="92"/>
      <c r="I135" s="92"/>
      <c r="J135" s="80"/>
      <c r="K135" s="92"/>
      <c r="L135" s="80"/>
    </row>
    <row r="136" spans="1:12" ht="58" x14ac:dyDescent="0.35">
      <c r="A136" s="58" t="s">
        <v>537</v>
      </c>
      <c r="B136" s="58" t="s">
        <v>538</v>
      </c>
      <c r="C136" s="57" t="s">
        <v>539</v>
      </c>
      <c r="D136" s="57" t="s">
        <v>540</v>
      </c>
      <c r="E136" s="57" t="s">
        <v>541</v>
      </c>
      <c r="F136" s="57" t="s">
        <v>542</v>
      </c>
      <c r="G136" s="57" t="s">
        <v>543</v>
      </c>
      <c r="H136" s="57" t="s">
        <v>544</v>
      </c>
      <c r="I136" s="57" t="s">
        <v>545</v>
      </c>
      <c r="J136" s="57" t="s">
        <v>546</v>
      </c>
      <c r="K136" s="57" t="s">
        <v>547</v>
      </c>
      <c r="L136" s="57" t="s">
        <v>548</v>
      </c>
    </row>
    <row r="137" spans="1:12" x14ac:dyDescent="0.35">
      <c r="A137" s="93" t="str">
        <f>IF(TripleTest_Freq="semestriel","S1","")</f>
        <v/>
      </c>
      <c r="B137" s="93" t="str">
        <f>IF(TripleTest_Freq="semestriel",1,"")</f>
        <v/>
      </c>
      <c r="C137" s="14" t="str">
        <f>IF(TripleTest_Freq="semestriel",ANC_Population/2,"")</f>
        <v/>
      </c>
      <c r="D137" s="93" t="str">
        <f>IF(TripleTest_Freq="semestriel",Y1_Screening_Target,"")</f>
        <v/>
      </c>
      <c r="E137" s="14" t="str">
        <f>IF(TripleTest_Freq="semestriel",Calc_TripleTests!E6+Calc_TripleTests!E7,"")</f>
        <v/>
      </c>
      <c r="F137" s="14" t="str">
        <f>IF(TripleTest_Freq="semestriel",Calc_TripleTests!F6+Calc_TripleTests!F7,"")</f>
        <v/>
      </c>
      <c r="G137" s="14" t="str">
        <f>IF(TripleTest_Freq="semestriel",Calc_TripleTests!G6+Calc_TripleTests!G7,"")</f>
        <v/>
      </c>
      <c r="H137" s="14" t="str">
        <f>IF(TripleTest_Freq="semestriel",Calc_TripleTests!H6+Calc_TripleTests!H7,"")</f>
        <v/>
      </c>
      <c r="I137" s="14" t="str">
        <f>IF(TripleTest_Freq="semestriel",Calc_TripleTests!I6+Calc_TripleTests!I7,"")</f>
        <v/>
      </c>
      <c r="J137" s="94" t="str">
        <f>IF(TripleTest_Freq="semestriel",Calc_TripleTests!J6+Calc_TripleTests!J7,"")</f>
        <v/>
      </c>
      <c r="K137" s="13" t="str">
        <f t="shared" ref="K137:K142" si="7">IF(TripleTest_Freq="semestriel",TripleTest_PackSize,"")</f>
        <v/>
      </c>
      <c r="L137" s="94" t="str">
        <f>IF(TripleTest_Freq="semestriel",IF(TripleTest_PackSize="","Enter pack size",CEILING((Calc_TripleTests!J6+Calc_TripleTests!J7)/TripleTest_PackSize,1)),"")</f>
        <v/>
      </c>
    </row>
    <row r="138" spans="1:12" x14ac:dyDescent="0.35">
      <c r="A138" s="93" t="str">
        <f>IF(TripleTest_Freq="semestriel","S2","")</f>
        <v/>
      </c>
      <c r="B138" s="93" t="str">
        <f>IF(TripleTest_Freq="semestriel",1,"")</f>
        <v/>
      </c>
      <c r="C138" s="14" t="str">
        <f>IF(TripleTest_Freq="semestriel",ANC_Population/2,"")</f>
        <v/>
      </c>
      <c r="D138" s="93" t="str">
        <f>IF(TripleTest_Freq="semestriel",Y1_Screening_Target,"")</f>
        <v/>
      </c>
      <c r="E138" s="14" t="str">
        <f>IF(TripleTest_Freq="semestriel",Calc_TripleTests!E8+Calc_TripleTests!E9,"")</f>
        <v/>
      </c>
      <c r="F138" s="14" t="str">
        <f>IF(TripleTest_Freq="semestriel",Calc_TripleTests!F8+Calc_TripleTests!F9,"")</f>
        <v/>
      </c>
      <c r="G138" s="14" t="str">
        <f>IF(TripleTest_Freq="semestriel",Calc_TripleTests!G8+Calc_TripleTests!G9,"")</f>
        <v/>
      </c>
      <c r="H138" s="14" t="str">
        <f>IF(TripleTest_Freq="semestriel",Calc_TripleTests!H8+Calc_TripleTests!H9,"")</f>
        <v/>
      </c>
      <c r="I138" s="14" t="str">
        <f>IF(TripleTest_Freq="semestriel",Calc_TripleTests!I8+Calc_TripleTests!I9,"")</f>
        <v/>
      </c>
      <c r="J138" s="94" t="str">
        <f>IF(TripleTest_Freq="semestriel",Calc_TripleTests!J8+Calc_TripleTests!J9,"")</f>
        <v/>
      </c>
      <c r="K138" s="13" t="str">
        <f t="shared" si="7"/>
        <v/>
      </c>
      <c r="L138" s="94" t="str">
        <f>IF(TripleTest_Freq="semestriel",IF(TripleTest_PackSize="","Enter pack size",CEILING((Calc_TripleTests!J8+Calc_TripleTests!J9)/TripleTest_PackSize,1)),"")</f>
        <v/>
      </c>
    </row>
    <row r="139" spans="1:12" x14ac:dyDescent="0.35">
      <c r="A139" s="93" t="str">
        <f>IF(TripleTest_Freq="semestriel","S1","")</f>
        <v/>
      </c>
      <c r="B139" s="93" t="str">
        <f>IF(TripleTest_Freq="semestriel",2,"")</f>
        <v/>
      </c>
      <c r="C139" s="14" t="str">
        <f>IF(TripleTest_Freq="semestriel",ANC_Population*(1+Pop_Growth_Rate/100)/2,"")</f>
        <v/>
      </c>
      <c r="D139" s="93" t="str">
        <f>IF(TripleTest_Freq="semestriel",Y2_Screening_Target,"")</f>
        <v/>
      </c>
      <c r="E139" s="14" t="str">
        <f>IF(TripleTest_Freq="semestriel",Calc_TripleTests!E10+Calc_TripleTests!E11,"")</f>
        <v/>
      </c>
      <c r="F139" s="14" t="str">
        <f>IF(TripleTest_Freq="semestriel",Calc_TripleTests!F10+Calc_TripleTests!F11,"")</f>
        <v/>
      </c>
      <c r="G139" s="14" t="str">
        <f>IF(TripleTest_Freq="semestriel",Calc_TripleTests!G10+Calc_TripleTests!G11,"")</f>
        <v/>
      </c>
      <c r="H139" s="14" t="str">
        <f>IF(TripleTest_Freq="semestriel",Calc_TripleTests!S10+Calc_TripleTests!S11,"")</f>
        <v/>
      </c>
      <c r="I139" s="14" t="str">
        <f>IF(TripleTest_Freq="semestriel",Calc_TripleTests!I10+Calc_TripleTests!I11,"")</f>
        <v/>
      </c>
      <c r="J139" s="94" t="str">
        <f>IF(TripleTest_Freq="semestriel",Calc_TripleTests!J10+Calc_TripleTests!J11,"")</f>
        <v/>
      </c>
      <c r="K139" s="13" t="str">
        <f t="shared" si="7"/>
        <v/>
      </c>
      <c r="L139" s="94" t="str">
        <f>IF(TripleTest_Freq="semestriel",IF(TripleTest_PackSize="","Enter pack size",CEILING((Calc_TripleTests!J10+Calc_TripleTests!J11)/TripleTest_PackSize,1)),"")</f>
        <v/>
      </c>
    </row>
    <row r="140" spans="1:12" x14ac:dyDescent="0.35">
      <c r="A140" s="93" t="str">
        <f>IF(TripleTest_Freq="semestriel","S2","")</f>
        <v/>
      </c>
      <c r="B140" s="93" t="str">
        <f>IF(TripleTest_Freq="semestriel",2,"")</f>
        <v/>
      </c>
      <c r="C140" s="14" t="str">
        <f>IF(TripleTest_Freq="semestriel",ANC_Population*(1+Pop_Growth_Rate/100)/2,"")</f>
        <v/>
      </c>
      <c r="D140" s="93" t="str">
        <f>IF(TripleTest_Freq="semestriel",Y2_Screening_Target,"")</f>
        <v/>
      </c>
      <c r="E140" s="14" t="str">
        <f>IF(TripleTest_Freq="semestriel",Calc_TripleTests!E12+Calc_TripleTests!E13,"")</f>
        <v/>
      </c>
      <c r="F140" s="14" t="str">
        <f>IF(TripleTest_Freq="semestriel",Calc_TripleTests!F12+Calc_TripleTests!F13,"")</f>
        <v/>
      </c>
      <c r="G140" s="14" t="str">
        <f>IF(TripleTest_Freq="semestriel",Calc_TripleTests!G12+Calc_TripleTests!G13,"")</f>
        <v/>
      </c>
      <c r="H140" s="14" t="str">
        <f>IF(TripleTest_Freq="semestriel",Calc_TripleTests!S12+Calc_TripleTests!S13,"")</f>
        <v/>
      </c>
      <c r="I140" s="14" t="str">
        <f>IF(TripleTest_Freq="semestriel",Calc_TripleTests!I12+Calc_TripleTests!I13,"")</f>
        <v/>
      </c>
      <c r="J140" s="94" t="str">
        <f>IF(TripleTest_Freq="semestriel",Calc_TripleTests!J12+Calc_TripleTests!J13,"")</f>
        <v/>
      </c>
      <c r="K140" s="13" t="str">
        <f t="shared" si="7"/>
        <v/>
      </c>
      <c r="L140" s="94" t="str">
        <f>IF(TripleTest_Freq="semestriel",IF(TripleTest_PackSize="","Enter pack size",CEILING((Calc_TripleTests!J12+Calc_TripleTests!J13)/TripleTest_PackSize,1)),"")</f>
        <v/>
      </c>
    </row>
    <row r="141" spans="1:12" x14ac:dyDescent="0.35">
      <c r="A141" s="93" t="str">
        <f>IF(TripleTest_Freq="semestriel","S1","")</f>
        <v/>
      </c>
      <c r="B141" s="93" t="str">
        <f>IF(TripleTest_Freq="semestriel",3,"")</f>
        <v/>
      </c>
      <c r="C141" s="14" t="str">
        <f>IF(TripleTest_Freq="semestriel",ANC_Population*(1+Pop_Growth_Rate/100)^2/2,"")</f>
        <v/>
      </c>
      <c r="D141" s="93" t="str">
        <f>IF(TripleTest_Freq="semestriel",Y3_Screening_Target,"")</f>
        <v/>
      </c>
      <c r="E141" s="14" t="str">
        <f>IF(TripleTest_Freq="semestriel",Calc_TripleTests!E14+Calc_TripleTests!E15,"")</f>
        <v/>
      </c>
      <c r="F141" s="14" t="str">
        <f>IF(TripleTest_Freq="semestriel",Calc_TripleTests!F14+Calc_TripleTests!F15,"")</f>
        <v/>
      </c>
      <c r="G141" s="14" t="str">
        <f>IF(TripleTest_Freq="semestriel",Calc_TripleTests!G14+Calc_TripleTests!G15,"")</f>
        <v/>
      </c>
      <c r="H141" s="14" t="str">
        <f>IF(TripleTest_Freq="semestriel",Calc_TripleTests!S14+Calc_TripleTests!S15,"")</f>
        <v/>
      </c>
      <c r="I141" s="14" t="str">
        <f>IF(TripleTest_Freq="semestriel",Calc_TripleTests!I14+Calc_TripleTests!I15,"")</f>
        <v/>
      </c>
      <c r="J141" s="94" t="str">
        <f>IF(TripleTest_Freq="semestriel",Calc_TripleTests!J14+Calc_TripleTests!J15,"")</f>
        <v/>
      </c>
      <c r="K141" s="13" t="str">
        <f t="shared" si="7"/>
        <v/>
      </c>
      <c r="L141" s="94" t="str">
        <f>IF(TripleTest_Freq="semestriel",IF(TripleTest_PackSize="","Enter pack size",CEILING((Calc_TripleTests!J14+Calc_TripleTests!J15)/TripleTest_PackSize,1)),"")</f>
        <v/>
      </c>
    </row>
    <row r="142" spans="1:12" x14ac:dyDescent="0.35">
      <c r="A142" s="93" t="str">
        <f>IF(TripleTest_Freq="semestriel","S2","")</f>
        <v/>
      </c>
      <c r="B142" s="93" t="str">
        <f>IF(TripleTest_Freq="semestriel",3,"")</f>
        <v/>
      </c>
      <c r="C142" s="14" t="str">
        <f>IF(TripleTest_Freq="semestriel",ANC_Population*(1+Pop_Growth_Rate/100)^2/2,"")</f>
        <v/>
      </c>
      <c r="D142" s="93" t="str">
        <f>IF(TripleTest_Freq="semestriel",Y3_Screening_Target,"")</f>
        <v/>
      </c>
      <c r="E142" s="14" t="str">
        <f>IF(TripleTest_Freq="semestriel",Calc_TripleTests!E16+Calc_TripleTests!E17,"")</f>
        <v/>
      </c>
      <c r="F142" s="14" t="str">
        <f>IF(TripleTest_Freq="semestriel",Calc_TripleTests!F16+Calc_TripleTests!F17,"")</f>
        <v/>
      </c>
      <c r="G142" s="14" t="str">
        <f>IF(TripleTest_Freq="semestriel",Calc_TripleTests!G16+Calc_TripleTests!G17,"")</f>
        <v/>
      </c>
      <c r="H142" s="14" t="str">
        <f>IF(TripleTest_Freq="semestriel",Calc_TripleTests!S16+Calc_TripleTests!S17,"")</f>
        <v/>
      </c>
      <c r="I142" s="14" t="str">
        <f>IF(TripleTest_Freq="semestriel",Calc_TripleTests!I16+Calc_TripleTests!I17,"")</f>
        <v/>
      </c>
      <c r="J142" s="94" t="str">
        <f>IF(TripleTest_Freq="semestriel",Calc_TripleTests!J16+Calc_TripleTests!J17,"")</f>
        <v/>
      </c>
      <c r="K142" s="13" t="str">
        <f t="shared" si="7"/>
        <v/>
      </c>
      <c r="L142" s="94" t="str">
        <f>IF(TripleTest_Freq="semestriel",IF(TripleTest_PackSize="","Enter pack size",CEILING((Calc_TripleTests!J16+Calc_TripleTests!J17)/TripleTest_PackSize,1)),"")</f>
        <v/>
      </c>
    </row>
    <row r="143" spans="1:12" x14ac:dyDescent="0.35">
      <c r="A143" s="9"/>
      <c r="B143" s="9"/>
      <c r="C143" s="48"/>
      <c r="D143" s="9"/>
      <c r="E143" s="48"/>
      <c r="F143" s="48"/>
      <c r="G143" s="48"/>
      <c r="H143" s="48"/>
      <c r="I143" s="48"/>
      <c r="J143" s="95"/>
      <c r="K143" s="9"/>
      <c r="L143" s="95"/>
    </row>
    <row r="144" spans="1:12" x14ac:dyDescent="0.35">
      <c r="A144" s="24" t="str">
        <f>IF(TripleTest_Freq="semestriel","Total Année 1","")</f>
        <v/>
      </c>
      <c r="B144" s="105"/>
      <c r="C144" s="105"/>
      <c r="D144" s="105"/>
      <c r="E144" s="105"/>
      <c r="F144" s="106"/>
      <c r="G144" s="106"/>
      <c r="H144" s="107"/>
      <c r="I144" s="107"/>
      <c r="J144" s="107" t="str">
        <f>IF(TripleTest_Freq="semestriel",J137+J138,"")</f>
        <v/>
      </c>
      <c r="K144" s="107"/>
      <c r="L144" s="107" t="str">
        <f>IF(TripleTest_Freq="semestriel",L137+L138,"")</f>
        <v/>
      </c>
    </row>
    <row r="145" spans="1:12" x14ac:dyDescent="0.35">
      <c r="A145" s="24" t="str">
        <f>IF(TripleTest_Freq="semestriel","Total Année 2","")</f>
        <v/>
      </c>
      <c r="B145" s="105"/>
      <c r="C145" s="105"/>
      <c r="D145" s="105"/>
      <c r="E145" s="105"/>
      <c r="F145" s="106"/>
      <c r="G145" s="106"/>
      <c r="H145" s="107"/>
      <c r="I145" s="107"/>
      <c r="J145" s="107" t="str">
        <f>IF(TripleTest_Freq="semestriel",J139+J140,"")</f>
        <v/>
      </c>
      <c r="K145" s="107"/>
      <c r="L145" s="107" t="str">
        <f>IF(TripleTest_Freq="semestriel",L139+L140,"")</f>
        <v/>
      </c>
    </row>
    <row r="146" spans="1:12" x14ac:dyDescent="0.35">
      <c r="A146" s="24" t="str">
        <f>IF(TripleTest_Freq="semestriel","Total Année 3","")</f>
        <v/>
      </c>
      <c r="B146" s="105"/>
      <c r="C146" s="105"/>
      <c r="D146" s="105"/>
      <c r="E146" s="105"/>
      <c r="F146" s="106"/>
      <c r="G146" s="106"/>
      <c r="H146" s="107"/>
      <c r="I146" s="107"/>
      <c r="J146" s="107" t="str">
        <f>IF(TripleTest_Freq="semestriel",J141+J142,"")</f>
        <v/>
      </c>
      <c r="K146" s="107"/>
      <c r="L146" s="107" t="str">
        <f>IF(TripleTest_Freq="semestriel",L141+L142,"")</f>
        <v/>
      </c>
    </row>
    <row r="147" spans="1:12" x14ac:dyDescent="0.35">
      <c r="A147" s="9"/>
      <c r="B147" s="9"/>
      <c r="C147" s="9"/>
      <c r="D147" s="9"/>
      <c r="E147" s="9"/>
      <c r="F147" s="9"/>
      <c r="G147" s="9"/>
      <c r="H147" s="9"/>
      <c r="I147" s="9"/>
      <c r="J147" s="95"/>
      <c r="K147" s="9"/>
      <c r="L147" s="95"/>
    </row>
    <row r="148" spans="1:12" s="96" customFormat="1" ht="16" x14ac:dyDescent="0.4">
      <c r="A148" s="86" t="str">
        <f>IF(TripleTest_Freq="semestriel","TOTAL SUR 3 ANS","")</f>
        <v/>
      </c>
      <c r="B148" s="91"/>
      <c r="C148" s="91"/>
      <c r="D148" s="91"/>
      <c r="E148" s="91"/>
      <c r="F148" s="91"/>
      <c r="G148" s="91"/>
      <c r="H148" s="91"/>
      <c r="I148" s="91"/>
      <c r="J148" s="87" t="str">
        <f>IF(TripleTest_Freq="semestriel",Calc_TripleTests!J23,"")</f>
        <v/>
      </c>
      <c r="K148" s="91"/>
      <c r="L148" s="87" t="str">
        <f>IF(TripleTest_Freq="semestriel",SUM(L144:L146),"")</f>
        <v/>
      </c>
    </row>
    <row r="150" spans="1:12" x14ac:dyDescent="0.35">
      <c r="A150" s="163" t="s">
        <v>550</v>
      </c>
    </row>
    <row r="151" spans="1:12" ht="58" x14ac:dyDescent="0.35">
      <c r="A151" s="58" t="s">
        <v>537</v>
      </c>
      <c r="B151" s="58" t="s">
        <v>538</v>
      </c>
      <c r="C151" s="57" t="s">
        <v>539</v>
      </c>
      <c r="D151" s="57" t="s">
        <v>540</v>
      </c>
      <c r="E151" s="57" t="s">
        <v>541</v>
      </c>
      <c r="F151" s="57" t="s">
        <v>542</v>
      </c>
      <c r="G151" s="57" t="s">
        <v>543</v>
      </c>
      <c r="H151" s="57" t="s">
        <v>544</v>
      </c>
      <c r="I151" s="57" t="s">
        <v>545</v>
      </c>
      <c r="J151" s="57" t="s">
        <v>546</v>
      </c>
      <c r="K151" s="57" t="s">
        <v>547</v>
      </c>
      <c r="L151" s="57" t="s">
        <v>548</v>
      </c>
    </row>
    <row r="152" spans="1:12" x14ac:dyDescent="0.35">
      <c r="A152" s="93" t="str">
        <f>IF(TripleTest_Freq="trimestriel","T1","")</f>
        <v/>
      </c>
      <c r="B152" s="93" t="str">
        <f>IF(TripleTest_Freq="trimestriel",1,"")</f>
        <v/>
      </c>
      <c r="C152" s="14" t="str">
        <f>IF(TripleTest_Freq="trimestriel",ANC_Population/4,"")</f>
        <v/>
      </c>
      <c r="D152" s="93" t="str">
        <f>IF(TripleTest_Freq="trimestriel",Y1_Screening_Target,"")</f>
        <v/>
      </c>
      <c r="E152" s="14" t="str">
        <f>IF(TripleTest_Freq="trimestriel",Calc_TripleTests!E6,"")</f>
        <v/>
      </c>
      <c r="F152" s="14" t="str">
        <f>IF(TripleTest_Freq="trimestriel",Calc_TripleTests!F6,"")</f>
        <v/>
      </c>
      <c r="G152" s="14" t="str">
        <f>IF(TripleTest_Freq="trimestriel",Calc_TripleTests!G6,"")</f>
        <v/>
      </c>
      <c r="H152" s="14" t="str">
        <f>IF(TripleTest_Freq="trimestriel",Calc_TripleTests!H6,"")</f>
        <v/>
      </c>
      <c r="I152" s="14" t="str">
        <f>IF(TripleTest_Freq="trimestriel",Calc_TripleTests!I6,"")</f>
        <v/>
      </c>
      <c r="J152" s="94" t="str">
        <f>IF(TripleTest_Freq="trimestriel",Calc_TripleTests!J6,"")</f>
        <v/>
      </c>
      <c r="K152" s="13" t="str">
        <f t="shared" ref="K152:K163" si="8">IF(TripleTest_Freq="trimestriel",TripleTest_PackSize,"")</f>
        <v/>
      </c>
      <c r="L152" s="94" t="str">
        <f>IF(TripleTest_Freq="trimestriel",IF(TripleTest_PackSize="","Enter pack size",CEILING(Calc_TripleTests!J6/TripleTest_PackSize,1)),"")</f>
        <v/>
      </c>
    </row>
    <row r="153" spans="1:12" x14ac:dyDescent="0.35">
      <c r="A153" s="93" t="str">
        <f>IF(TripleTest_Freq="trimestriel","T2","")</f>
        <v/>
      </c>
      <c r="B153" s="93" t="str">
        <f>IF(TripleTest_Freq="trimestriel",1,"")</f>
        <v/>
      </c>
      <c r="C153" s="14" t="str">
        <f>IF(TripleTest_Freq="trimestriel",ANC_Population/4,"")</f>
        <v/>
      </c>
      <c r="D153" s="93" t="str">
        <f>IF(TripleTest_Freq="trimestriel",Y1_Screening_Target,"")</f>
        <v/>
      </c>
      <c r="E153" s="14" t="str">
        <f>IF(TripleTest_Freq="trimestriel",Calc_TripleTests!E7,"")</f>
        <v/>
      </c>
      <c r="F153" s="14" t="str">
        <f>IF(TripleTest_Freq="trimestriel",Calc_TripleTests!F7,"")</f>
        <v/>
      </c>
      <c r="G153" s="14" t="str">
        <f>IF(TripleTest_Freq="trimestriel",Calc_TripleTests!G7,"")</f>
        <v/>
      </c>
      <c r="H153" s="14" t="str">
        <f>IF(TripleTest_Freq="trimestriel",Calc_TripleTests!H7,"")</f>
        <v/>
      </c>
      <c r="I153" s="14" t="str">
        <f>IF(TripleTest_Freq="trimestriel",Calc_TripleTests!I7,"")</f>
        <v/>
      </c>
      <c r="J153" s="94" t="str">
        <f>IF(TripleTest_Freq="trimestriel",Calc_TripleTests!J7,"")</f>
        <v/>
      </c>
      <c r="K153" s="13" t="str">
        <f t="shared" si="8"/>
        <v/>
      </c>
      <c r="L153" s="94" t="str">
        <f>IF(TripleTest_Freq="trimestriel",IF(TripleTest_PackSize="","Enter pack size",CEILING(Calc_TripleTests!J7/TripleTest_PackSize,1)),"")</f>
        <v/>
      </c>
    </row>
    <row r="154" spans="1:12" x14ac:dyDescent="0.35">
      <c r="A154" s="93" t="str">
        <f>IF(TripleTest_Freq="trimestriel","T3","")</f>
        <v/>
      </c>
      <c r="B154" s="93" t="str">
        <f>IF(TripleTest_Freq="trimestriel",1,"")</f>
        <v/>
      </c>
      <c r="C154" s="14" t="str">
        <f>IF(TripleTest_Freq="trimestriel",ANC_Population/4,"")</f>
        <v/>
      </c>
      <c r="D154" s="93" t="str">
        <f>IF(TripleTest_Freq="trimestriel",Y1_Screening_Target,"")</f>
        <v/>
      </c>
      <c r="E154" s="14" t="str">
        <f>IF(TripleTest_Freq="trimestriel",Calc_TripleTests!E8,"")</f>
        <v/>
      </c>
      <c r="F154" s="14" t="str">
        <f>IF(TripleTest_Freq="trimestriel",Calc_TripleTests!F8,"")</f>
        <v/>
      </c>
      <c r="G154" s="14" t="str">
        <f>IF(TripleTest_Freq="trimestriel",Calc_TripleTests!G8,"")</f>
        <v/>
      </c>
      <c r="H154" s="14" t="str">
        <f>IF(TripleTest_Freq="trimestriel",Calc_TripleTests!H8,"")</f>
        <v/>
      </c>
      <c r="I154" s="14" t="str">
        <f>IF(TripleTest_Freq="trimestriel",Calc_TripleTests!I8,"")</f>
        <v/>
      </c>
      <c r="J154" s="94" t="str">
        <f>IF(TripleTest_Freq="trimestriel",Calc_TripleTests!J8,"")</f>
        <v/>
      </c>
      <c r="K154" s="13" t="str">
        <f t="shared" si="8"/>
        <v/>
      </c>
      <c r="L154" s="94" t="str">
        <f>IF(TripleTest_Freq="trimestriel",IF(TripleTest_PackSize="","Enter pack size",CEILING(Calc_TripleTests!J8/TripleTest_PackSize,1)),"")</f>
        <v/>
      </c>
    </row>
    <row r="155" spans="1:12" x14ac:dyDescent="0.35">
      <c r="A155" s="93" t="str">
        <f>IF(TripleTest_Freq="trimestriel","T4","")</f>
        <v/>
      </c>
      <c r="B155" s="93" t="str">
        <f>IF(TripleTest_Freq="trimestriel",1,"")</f>
        <v/>
      </c>
      <c r="C155" s="14" t="str">
        <f>IF(TripleTest_Freq="trimestriel",ANC_Population/4,"")</f>
        <v/>
      </c>
      <c r="D155" s="93" t="str">
        <f>IF(TripleTest_Freq="trimestriel",Y1_Screening_Target,"")</f>
        <v/>
      </c>
      <c r="E155" s="14" t="str">
        <f>IF(TripleTest_Freq="trimestriel",Calc_TripleTests!E9,"")</f>
        <v/>
      </c>
      <c r="F155" s="14" t="str">
        <f>IF(TripleTest_Freq="trimestriel",Calc_TripleTests!F9,"")</f>
        <v/>
      </c>
      <c r="G155" s="14" t="str">
        <f>IF(TripleTest_Freq="trimestriel",Calc_TripleTests!G9,"")</f>
        <v/>
      </c>
      <c r="H155" s="14" t="str">
        <f>IF(TripleTest_Freq="trimestriel",Calc_TripleTests!H9,"")</f>
        <v/>
      </c>
      <c r="I155" s="14" t="str">
        <f>IF(TripleTest_Freq="trimestriel",Calc_TripleTests!I9,"")</f>
        <v/>
      </c>
      <c r="J155" s="94" t="str">
        <f>IF(TripleTest_Freq="trimestriel",Calc_TripleTests!J9,"")</f>
        <v/>
      </c>
      <c r="K155" s="13" t="str">
        <f t="shared" si="8"/>
        <v/>
      </c>
      <c r="L155" s="94" t="str">
        <f>IF(TripleTest_Freq="trimestriel",IF(TripleTest_PackSize="","Enter pack size",CEILING(Calc_TripleTests!J9/TripleTest_PackSize,1)),"")</f>
        <v/>
      </c>
    </row>
    <row r="156" spans="1:12" x14ac:dyDescent="0.35">
      <c r="A156" s="93" t="str">
        <f>IF(TripleTest_Freq="trimestriel","T1","")</f>
        <v/>
      </c>
      <c r="B156" s="93" t="str">
        <f>IF(TripleTest_Freq="trimestriel",2,"")</f>
        <v/>
      </c>
      <c r="C156" s="14" t="str">
        <f>IF(TripleTest_Freq="trimestriel",ANC_Population*(1+Pop_Growth_Rate/100)/4,"")</f>
        <v/>
      </c>
      <c r="D156" s="93" t="str">
        <f>IF(TripleTest_Freq="trimestriel",Y2_Screening_Target,"")</f>
        <v/>
      </c>
      <c r="E156" s="14" t="str">
        <f>IF(TripleTest_Freq="trimestriel",Calc_TripleTests!E10,"")</f>
        <v/>
      </c>
      <c r="F156" s="14" t="str">
        <f>IF(TripleTest_Freq="trimestriel",Calc_TripleTests!F10,"")</f>
        <v/>
      </c>
      <c r="G156" s="14" t="str">
        <f>IF(TripleTest_Freq="trimestriel",Calc_TripleTests!G10,"")</f>
        <v/>
      </c>
      <c r="H156" s="14" t="str">
        <f>IF(TripleTest_Freq="trimestriel",Calc_TripleTests!S10,"")</f>
        <v/>
      </c>
      <c r="I156" s="14" t="str">
        <f>IF(TripleTest_Freq="trimestriel",Calc_TripleTests!I10,"")</f>
        <v/>
      </c>
      <c r="J156" s="94" t="str">
        <f>IF(TripleTest_Freq="trimestriel",Calc_TripleTests!J10,"")</f>
        <v/>
      </c>
      <c r="K156" s="13" t="str">
        <f t="shared" si="8"/>
        <v/>
      </c>
      <c r="L156" s="94" t="str">
        <f>IF(TripleTest_Freq="trimestriel",IF(TripleTest_PackSize="","Enter pack size",CEILING(Calc_TripleTests!J10/TripleTest_PackSize,1)),"")</f>
        <v/>
      </c>
    </row>
    <row r="157" spans="1:12" x14ac:dyDescent="0.35">
      <c r="A157" s="93" t="str">
        <f>IF(TripleTest_Freq="trimestriel","T2","")</f>
        <v/>
      </c>
      <c r="B157" s="93" t="str">
        <f>IF(TripleTest_Freq="trimestriel",2,"")</f>
        <v/>
      </c>
      <c r="C157" s="14" t="str">
        <f>IF(TripleTest_Freq="trimestriel",ANC_Population*(1+Pop_Growth_Rate/100)/4,"")</f>
        <v/>
      </c>
      <c r="D157" s="93" t="str">
        <f>IF(TripleTest_Freq="trimestriel",Y2_Screening_Target,"")</f>
        <v/>
      </c>
      <c r="E157" s="14" t="str">
        <f>IF(TripleTest_Freq="trimestriel",Calc_TripleTests!E11,"")</f>
        <v/>
      </c>
      <c r="F157" s="14" t="str">
        <f>IF(TripleTest_Freq="trimestriel",Calc_TripleTests!F11,"")</f>
        <v/>
      </c>
      <c r="G157" s="14" t="str">
        <f>IF(TripleTest_Freq="trimestriel",Calc_TripleTests!G11,"")</f>
        <v/>
      </c>
      <c r="H157" s="14" t="str">
        <f>IF(TripleTest_Freq="trimestriel",Calc_TripleTests!S11,"")</f>
        <v/>
      </c>
      <c r="I157" s="14" t="str">
        <f>IF(TripleTest_Freq="trimestriel",Calc_TripleTests!I11,"")</f>
        <v/>
      </c>
      <c r="J157" s="94" t="str">
        <f>IF(TripleTest_Freq="trimestriel",Calc_TripleTests!J11,"")</f>
        <v/>
      </c>
      <c r="K157" s="13" t="str">
        <f t="shared" si="8"/>
        <v/>
      </c>
      <c r="L157" s="94" t="str">
        <f>IF(TripleTest_Freq="trimestriel",IF(TripleTest_PackSize="","Enter pack size",CEILING(Calc_TripleTests!J11/TripleTest_PackSize,1)),"")</f>
        <v/>
      </c>
    </row>
    <row r="158" spans="1:12" x14ac:dyDescent="0.35">
      <c r="A158" s="93" t="str">
        <f>IF(TripleTest_Freq="trimestriel","T3","")</f>
        <v/>
      </c>
      <c r="B158" s="93" t="str">
        <f>IF(TripleTest_Freq="trimestriel",2,"")</f>
        <v/>
      </c>
      <c r="C158" s="14" t="str">
        <f>IF(TripleTest_Freq="trimestriel",ANC_Population*(1+Pop_Growth_Rate/100)/4,"")</f>
        <v/>
      </c>
      <c r="D158" s="93" t="str">
        <f>IF(TripleTest_Freq="trimestriel",Y2_Screening_Target,"")</f>
        <v/>
      </c>
      <c r="E158" s="14" t="str">
        <f>IF(TripleTest_Freq="trimestriel",Calc_TripleTests!E12,"")</f>
        <v/>
      </c>
      <c r="F158" s="14" t="str">
        <f>IF(TripleTest_Freq="trimestriel",Calc_TripleTests!F12,"")</f>
        <v/>
      </c>
      <c r="G158" s="14" t="str">
        <f>IF(TripleTest_Freq="trimestriel",Calc_TripleTests!G12,"")</f>
        <v/>
      </c>
      <c r="H158" s="14" t="str">
        <f>IF(TripleTest_Freq="trimestriel",Calc_TripleTests!S12,"")</f>
        <v/>
      </c>
      <c r="I158" s="14" t="str">
        <f>IF(TripleTest_Freq="trimestriel",Calc_TripleTests!I12,"")</f>
        <v/>
      </c>
      <c r="J158" s="94" t="str">
        <f>IF(TripleTest_Freq="trimestriel",Calc_TripleTests!J12,"")</f>
        <v/>
      </c>
      <c r="K158" s="13" t="str">
        <f t="shared" si="8"/>
        <v/>
      </c>
      <c r="L158" s="94" t="str">
        <f>IF(TripleTest_Freq="trimestriel",IF(TripleTest_PackSize="","Enter pack size",CEILING(Calc_TripleTests!J12/TripleTest_PackSize,1)),"")</f>
        <v/>
      </c>
    </row>
    <row r="159" spans="1:12" x14ac:dyDescent="0.35">
      <c r="A159" s="93" t="str">
        <f>IF(TripleTest_Freq="trimestriel","T4","")</f>
        <v/>
      </c>
      <c r="B159" s="93" t="str">
        <f>IF(TripleTest_Freq="trimestriel",2,"")</f>
        <v/>
      </c>
      <c r="C159" s="14" t="str">
        <f>IF(TripleTest_Freq="trimestriel",ANC_Population*(1+Pop_Growth_Rate/100)/4,"")</f>
        <v/>
      </c>
      <c r="D159" s="93" t="str">
        <f>IF(TripleTest_Freq="trimestriel",Y2_Screening_Target,"")</f>
        <v/>
      </c>
      <c r="E159" s="14" t="str">
        <f>IF(TripleTest_Freq="trimestriel",Calc_TripleTests!E13,"")</f>
        <v/>
      </c>
      <c r="F159" s="14" t="str">
        <f>IF(TripleTest_Freq="trimestriel",Calc_TripleTests!F13,"")</f>
        <v/>
      </c>
      <c r="G159" s="14" t="str">
        <f>IF(TripleTest_Freq="trimestriel",Calc_TripleTests!G13,"")</f>
        <v/>
      </c>
      <c r="H159" s="14" t="str">
        <f>IF(TripleTest_Freq="trimestriel",Calc_TripleTests!S13,"")</f>
        <v/>
      </c>
      <c r="I159" s="14" t="str">
        <f>IF(TripleTest_Freq="trimestriel",Calc_TripleTests!I13,"")</f>
        <v/>
      </c>
      <c r="J159" s="94" t="str">
        <f>IF(TripleTest_Freq="trimestriel",Calc_TripleTests!J13,"")</f>
        <v/>
      </c>
      <c r="K159" s="13" t="str">
        <f t="shared" si="8"/>
        <v/>
      </c>
      <c r="L159" s="94" t="str">
        <f>IF(TripleTest_Freq="trimestriel",IF(TripleTest_PackSize="","Enter pack size",CEILING(Calc_TripleTests!J13/TripleTest_PackSize,1)),"")</f>
        <v/>
      </c>
    </row>
    <row r="160" spans="1:12" x14ac:dyDescent="0.35">
      <c r="A160" s="93" t="str">
        <f>IF(TripleTest_Freq="trimestriel","T1","")</f>
        <v/>
      </c>
      <c r="B160" s="93" t="str">
        <f>IF(TripleTest_Freq="trimestriel",3,"")</f>
        <v/>
      </c>
      <c r="C160" s="14" t="str">
        <f>IF(TripleTest_Freq="trimestriel",ANC_Population*(1+Pop_Growth_Rate/100)^2/4,"")</f>
        <v/>
      </c>
      <c r="D160" s="93" t="str">
        <f>IF(TripleTest_Freq="trimestriel",Y3_Screening_Target,"")</f>
        <v/>
      </c>
      <c r="E160" s="14" t="str">
        <f>IF(TripleTest_Freq="trimestriel",Calc_TripleTests!E14,"")</f>
        <v/>
      </c>
      <c r="F160" s="14" t="str">
        <f>IF(TripleTest_Freq="trimestriel",Calc_TripleTests!F14,"")</f>
        <v/>
      </c>
      <c r="G160" s="14" t="str">
        <f>IF(TripleTest_Freq="trimestriel",Calc_TripleTests!G14,"")</f>
        <v/>
      </c>
      <c r="H160" s="14" t="str">
        <f>IF(TripleTest_Freq="trimestriel",Calc_TripleTests!S14,"")</f>
        <v/>
      </c>
      <c r="I160" s="14" t="str">
        <f>IF(TripleTest_Freq="trimestriel",Calc_TripleTests!I14,"")</f>
        <v/>
      </c>
      <c r="J160" s="94" t="str">
        <f>IF(TripleTest_Freq="trimestriel",Calc_TripleTests!J14,"")</f>
        <v/>
      </c>
      <c r="K160" s="13" t="str">
        <f t="shared" si="8"/>
        <v/>
      </c>
      <c r="L160" s="94" t="str">
        <f>IF(TripleTest_Freq="trimestriel",IF(TripleTest_PackSize="","Enter pack size",CEILING(Calc_TripleTests!J14/TripleTest_PackSize,1)),"")</f>
        <v/>
      </c>
    </row>
    <row r="161" spans="1:12" x14ac:dyDescent="0.35">
      <c r="A161" s="93" t="str">
        <f>IF(TripleTest_Freq="trimestriel","T2","")</f>
        <v/>
      </c>
      <c r="B161" s="93" t="str">
        <f>IF(TripleTest_Freq="trimestriel",3,"")</f>
        <v/>
      </c>
      <c r="C161" s="14" t="str">
        <f>IF(TripleTest_Freq="trimestriel",ANC_Population*(1+Pop_Growth_Rate/100)^2/4,"")</f>
        <v/>
      </c>
      <c r="D161" s="93" t="str">
        <f>IF(TripleTest_Freq="trimestriel",Y3_Screening_Target,"")</f>
        <v/>
      </c>
      <c r="E161" s="14" t="str">
        <f>IF(TripleTest_Freq="trimestriel",Calc_TripleTests!E15,"")</f>
        <v/>
      </c>
      <c r="F161" s="14" t="str">
        <f>IF(TripleTest_Freq="trimestriel",Calc_TripleTests!F15,"")</f>
        <v/>
      </c>
      <c r="G161" s="14" t="str">
        <f>IF(TripleTest_Freq="trimestriel",Calc_TripleTests!G15,"")</f>
        <v/>
      </c>
      <c r="H161" s="14" t="str">
        <f>IF(TripleTest_Freq="trimestriel",Calc_TripleTests!S15,"")</f>
        <v/>
      </c>
      <c r="I161" s="14" t="str">
        <f>IF(TripleTest_Freq="trimestriel",Calc_TripleTests!I15,"")</f>
        <v/>
      </c>
      <c r="J161" s="94" t="str">
        <f>IF(TripleTest_Freq="trimestriel",Calc_TripleTests!J15,"")</f>
        <v/>
      </c>
      <c r="K161" s="13" t="str">
        <f t="shared" si="8"/>
        <v/>
      </c>
      <c r="L161" s="94" t="str">
        <f>IF(TripleTest_Freq="trimestriel",IF(TripleTest_PackSize="","Enter pack size",CEILING(Calc_TripleTests!J15/TripleTest_PackSize,1)),"")</f>
        <v/>
      </c>
    </row>
    <row r="162" spans="1:12" x14ac:dyDescent="0.35">
      <c r="A162" s="93" t="str">
        <f>IF(TripleTest_Freq="trimestriel","T3","")</f>
        <v/>
      </c>
      <c r="B162" s="93" t="str">
        <f>IF(TripleTest_Freq="trimestriel",3,"")</f>
        <v/>
      </c>
      <c r="C162" s="14" t="str">
        <f>IF(TripleTest_Freq="trimestriel",ANC_Population*(1+Pop_Growth_Rate/100)^2/4,"")</f>
        <v/>
      </c>
      <c r="D162" s="93" t="str">
        <f>IF(TripleTest_Freq="trimestriel",Y3_Screening_Target,"")</f>
        <v/>
      </c>
      <c r="E162" s="14" t="str">
        <f>IF(TripleTest_Freq="trimestriel",Calc_TripleTests!E16,"")</f>
        <v/>
      </c>
      <c r="F162" s="14" t="str">
        <f>IF(TripleTest_Freq="trimestriel",Calc_TripleTests!F16,"")</f>
        <v/>
      </c>
      <c r="G162" s="14" t="str">
        <f>IF(TripleTest_Freq="trimestriel",Calc_TripleTests!G16,"")</f>
        <v/>
      </c>
      <c r="H162" s="14" t="str">
        <f>IF(TripleTest_Freq="trimestriel",Calc_TripleTests!S16,"")</f>
        <v/>
      </c>
      <c r="I162" s="14" t="str">
        <f>IF(TripleTest_Freq="trimestriel",Calc_TripleTests!I16,"")</f>
        <v/>
      </c>
      <c r="J162" s="94" t="str">
        <f>IF(TripleTest_Freq="trimestriel",Calc_TripleTests!J16,"")</f>
        <v/>
      </c>
      <c r="K162" s="13" t="str">
        <f t="shared" si="8"/>
        <v/>
      </c>
      <c r="L162" s="94" t="str">
        <f>IF(TripleTest_Freq="trimestriel",IF(TripleTest_PackSize="","Enter pack size",CEILING(Calc_TripleTests!J16/TripleTest_PackSize,1)),"")</f>
        <v/>
      </c>
    </row>
    <row r="163" spans="1:12" x14ac:dyDescent="0.35">
      <c r="A163" s="93" t="str">
        <f>IF(TripleTest_Freq="trimestriel","T4","")</f>
        <v/>
      </c>
      <c r="B163" s="93" t="str">
        <f>IF(TripleTest_Freq="trimestriel",3,"")</f>
        <v/>
      </c>
      <c r="C163" s="14" t="str">
        <f>IF(TripleTest_Freq="trimestriel",ANC_Population*(1+Pop_Growth_Rate/100)^2/4,"")</f>
        <v/>
      </c>
      <c r="D163" s="93" t="str">
        <f>IF(TripleTest_Freq="trimestriel",Y3_Screening_Target,"")</f>
        <v/>
      </c>
      <c r="E163" s="14" t="str">
        <f>IF(TripleTest_Freq="trimestriel",Calc_TripleTests!E17,"")</f>
        <v/>
      </c>
      <c r="F163" s="14" t="str">
        <f>IF(TripleTest_Freq="trimestriel",Calc_TripleTests!F17,"")</f>
        <v/>
      </c>
      <c r="G163" s="14" t="str">
        <f>IF(TripleTest_Freq="trimestriel",Calc_TripleTests!G17,"")</f>
        <v/>
      </c>
      <c r="H163" s="14" t="str">
        <f>IF(TripleTest_Freq="trimestriel",Calc_TripleTests!S17,"")</f>
        <v/>
      </c>
      <c r="I163" s="14" t="str">
        <f>IF(TripleTest_Freq="trimestriel",Calc_TripleTests!I17,"")</f>
        <v/>
      </c>
      <c r="J163" s="94" t="str">
        <f>IF(TripleTest_Freq="trimestriel",Calc_TripleTests!J17,"")</f>
        <v/>
      </c>
      <c r="K163" s="13" t="str">
        <f t="shared" si="8"/>
        <v/>
      </c>
      <c r="L163" s="94" t="str">
        <f>IF(TripleTest_Freq="trimestriel",IF(TripleTest_PackSize="","Enter pack size",CEILING(Calc_TripleTests!J17/TripleTest_PackSize,1)),"")</f>
        <v/>
      </c>
    </row>
    <row r="164" spans="1:12" x14ac:dyDescent="0.35">
      <c r="A164" s="9"/>
      <c r="B164" s="9"/>
      <c r="C164" s="48"/>
      <c r="D164" s="9"/>
      <c r="E164" s="48"/>
      <c r="F164" s="48"/>
      <c r="G164" s="48"/>
      <c r="H164" s="48"/>
      <c r="I164" s="48"/>
      <c r="J164" s="95"/>
      <c r="K164" s="9"/>
      <c r="L164" s="95"/>
    </row>
    <row r="165" spans="1:12" x14ac:dyDescent="0.35">
      <c r="A165" s="24" t="str">
        <f>IF(TripleTest_Freq="trimestriel","Total Année 1","")</f>
        <v/>
      </c>
      <c r="B165" s="105"/>
      <c r="C165" s="105"/>
      <c r="D165" s="105"/>
      <c r="E165" s="105"/>
      <c r="F165" s="106"/>
      <c r="G165" s="106"/>
      <c r="H165" s="107"/>
      <c r="I165" s="107"/>
      <c r="J165" s="107" t="str">
        <f>IF(TripleTest_Freq="trimestriel",Calc_TripleTests!J19,"")</f>
        <v/>
      </c>
      <c r="K165" s="107"/>
      <c r="L165" s="107" t="str">
        <f>IF(TripleTest_Freq="trimestriel",SUM(L152:L155),"")</f>
        <v/>
      </c>
    </row>
    <row r="166" spans="1:12" x14ac:dyDescent="0.35">
      <c r="A166" s="24" t="str">
        <f>IF(TripleTest_Freq="trimestriel","Total Année 2","")</f>
        <v/>
      </c>
      <c r="B166" s="105"/>
      <c r="C166" s="105"/>
      <c r="D166" s="105"/>
      <c r="E166" s="105"/>
      <c r="F166" s="106"/>
      <c r="G166" s="106"/>
      <c r="H166" s="107"/>
      <c r="I166" s="107"/>
      <c r="J166" s="107" t="str">
        <f>IF(TripleTest_Freq="trimestriel",Calc_TripleTests!J20,"")</f>
        <v/>
      </c>
      <c r="K166" s="107"/>
      <c r="L166" s="107" t="str">
        <f>IF(TripleTest_Freq="trimestriel",SUM(L156:L159),"")</f>
        <v/>
      </c>
    </row>
    <row r="167" spans="1:12" x14ac:dyDescent="0.35">
      <c r="A167" s="24" t="str">
        <f>IF(TripleTest_Freq="trimestriel","Total Année 3","")</f>
        <v/>
      </c>
      <c r="B167" s="105"/>
      <c r="C167" s="105"/>
      <c r="D167" s="105"/>
      <c r="E167" s="105"/>
      <c r="F167" s="106"/>
      <c r="G167" s="106"/>
      <c r="H167" s="107"/>
      <c r="I167" s="107"/>
      <c r="J167" s="107" t="str">
        <f>IF(TripleTest_Freq="trimestriel",Calc_TripleTests!J21,"")</f>
        <v/>
      </c>
      <c r="K167" s="107"/>
      <c r="L167" s="107" t="str">
        <f>IF(TripleTest_Freq="trimestriel",SUM(L160:L163),"")</f>
        <v/>
      </c>
    </row>
    <row r="168" spans="1:12" x14ac:dyDescent="0.35">
      <c r="A168" s="9"/>
      <c r="B168" s="9"/>
      <c r="C168" s="9"/>
      <c r="D168" s="9"/>
      <c r="E168" s="9"/>
      <c r="F168" s="9"/>
      <c r="G168" s="9"/>
      <c r="H168" s="9"/>
      <c r="I168" s="9"/>
      <c r="J168" s="95"/>
      <c r="K168" s="9"/>
      <c r="L168" s="95"/>
    </row>
    <row r="169" spans="1:12" s="96" customFormat="1" ht="16" x14ac:dyDescent="0.4">
      <c r="A169" s="86" t="str">
        <f>IF(DualTest_Freq="trimestriel","TOTAL SUR 3 ANS","")</f>
        <v/>
      </c>
      <c r="B169" s="91"/>
      <c r="C169" s="91"/>
      <c r="D169" s="91"/>
      <c r="E169" s="91"/>
      <c r="F169" s="91"/>
      <c r="G169" s="91"/>
      <c r="H169" s="91"/>
      <c r="I169" s="91"/>
      <c r="J169" s="87" t="str">
        <f>IF(TripleTest_Freq="trimestriel",Calc_TripleTests!J23,"")</f>
        <v/>
      </c>
      <c r="K169" s="91"/>
      <c r="L169" s="87" t="str">
        <f>IF(TripleTest_Freq="trimestriel",SUM(L165:L167),"")</f>
        <v/>
      </c>
    </row>
    <row r="171" spans="1:12" x14ac:dyDescent="0.35">
      <c r="A171" s="97" t="s">
        <v>74</v>
      </c>
      <c r="B171" s="98" t="str">
        <f>IF(TripleTest_Freq="Annuel",L129,IF(TripleTest_Freq="semestriel",L144,IF(TripleTest_Freq="trimestriel",L165,"")))</f>
        <v/>
      </c>
    </row>
    <row r="172" spans="1:12" x14ac:dyDescent="0.35">
      <c r="A172" s="97" t="s">
        <v>75</v>
      </c>
      <c r="B172" s="98" t="str">
        <f>IF(TripleTest_Freq="Annuel",L130,IF(TripleTest_Freq="semestriel",L145,IF(TripleTest_Freq="trimestriel",L166,"")))</f>
        <v/>
      </c>
    </row>
    <row r="173" spans="1:12" x14ac:dyDescent="0.35">
      <c r="A173" s="97" t="s">
        <v>76</v>
      </c>
      <c r="B173" s="98" t="str">
        <f>IF(TripleTest_Freq="Annuel",L131,IF(TripleTest_Freq="semestriel",L146,IF(TripleTest_Freq="trimestriel",L167,"")))</f>
        <v/>
      </c>
    </row>
    <row r="174" spans="1:12" x14ac:dyDescent="0.35">
      <c r="A174" s="97" t="s">
        <v>77</v>
      </c>
      <c r="B174" s="98" t="str">
        <f>IFERROR(B171+B172+B173,"")</f>
        <v/>
      </c>
    </row>
    <row r="175" spans="1:12" ht="15" thickBot="1" x14ac:dyDescent="0.4">
      <c r="A175" s="97"/>
      <c r="B175" s="98"/>
    </row>
    <row r="176" spans="1:12" ht="16.5" thickBot="1" x14ac:dyDescent="0.45">
      <c r="A176" s="374" t="s">
        <v>553</v>
      </c>
      <c r="B176" s="375"/>
      <c r="C176" s="375"/>
      <c r="D176" s="375"/>
      <c r="E176" s="375"/>
      <c r="F176" s="375"/>
      <c r="G176" s="375"/>
      <c r="H176" s="375"/>
      <c r="I176" s="375"/>
      <c r="J176" s="375"/>
      <c r="K176" s="375"/>
      <c r="L176" s="376"/>
    </row>
    <row r="177" spans="1:12" x14ac:dyDescent="0.35">
      <c r="A177" s="97"/>
      <c r="B177" s="98"/>
    </row>
    <row r="178" spans="1:12" x14ac:dyDescent="0.35">
      <c r="A178" s="163" t="s">
        <v>536</v>
      </c>
    </row>
    <row r="179" spans="1:12" ht="58" x14ac:dyDescent="0.35">
      <c r="A179" s="58" t="s">
        <v>537</v>
      </c>
      <c r="B179" s="58" t="s">
        <v>538</v>
      </c>
      <c r="C179" s="57" t="s">
        <v>554</v>
      </c>
      <c r="D179" s="57" t="s">
        <v>555</v>
      </c>
      <c r="E179" s="57" t="s">
        <v>556</v>
      </c>
      <c r="F179" s="57" t="s">
        <v>557</v>
      </c>
      <c r="G179" s="57" t="s">
        <v>558</v>
      </c>
      <c r="H179" s="57" t="s">
        <v>543</v>
      </c>
      <c r="I179" s="57" t="s">
        <v>544</v>
      </c>
      <c r="J179" s="57" t="s">
        <v>546</v>
      </c>
      <c r="K179" s="57" t="s">
        <v>547</v>
      </c>
      <c r="L179" s="57" t="s">
        <v>548</v>
      </c>
    </row>
    <row r="180" spans="1:12" x14ac:dyDescent="0.35">
      <c r="A180" s="93" t="str">
        <f>IF(BPG_Freq="Annuel","Année 1","")</f>
        <v/>
      </c>
      <c r="B180" s="94" t="str">
        <f>IF(BPG_Freq="Annuel",1,"")</f>
        <v/>
      </c>
      <c r="C180" s="14" t="str">
        <f>IF(BPG_Freq="Annuel",Calc_BPG!C6*4,"")</f>
        <v/>
      </c>
      <c r="D180" s="14" t="str">
        <f>IF(BPG_Freq="Annuel",Calc_BPG!D6*4,"")</f>
        <v/>
      </c>
      <c r="E180" s="93" t="str">
        <f>IF(BPG_Freq="Annuel",Y1_Treatment_Target,"")</f>
        <v/>
      </c>
      <c r="F180" s="14" t="str">
        <f>IF(BPG_Freq="Annuel",Calc_BPG!F6+Calc_BPG!F7+Calc_BPG!F8+Calc_BPG!F9,"")</f>
        <v/>
      </c>
      <c r="G180" s="14" t="str">
        <f>IF(BPG_Freq="Annuel",Calc_BPG!G6+Calc_BPG!G7+Calc_BPG!G8+Calc_BPG!G9,"")</f>
        <v/>
      </c>
      <c r="H180" s="14" t="str">
        <f>IF(BPG_Freq="Annuel",Calc_BPG!S19,"")</f>
        <v/>
      </c>
      <c r="I180" s="14" t="str">
        <f>IF(BPG_Freq="Annuel",Calc_BPG!I19,"")</f>
        <v/>
      </c>
      <c r="J180" s="14" t="str">
        <f>IF(BPG_Freq="Annuel",Calc_BPG!J19,"")</f>
        <v/>
      </c>
      <c r="K180" s="93" t="str">
        <f>IF(BPG_Freq="Annuel",BPG_PackSize,"")</f>
        <v/>
      </c>
      <c r="L180" s="93" t="str">
        <f>IF(BPG_Freq="Annuel",IF(BPG_PackSize="","Enter pack size",CEILING(Calc_BPG!J19/BPG_PackSize,1)),"")</f>
        <v/>
      </c>
    </row>
    <row r="181" spans="1:12" x14ac:dyDescent="0.35">
      <c r="A181" s="93" t="str">
        <f>IF(BPG_Freq="Annuel","Année 2","")</f>
        <v/>
      </c>
      <c r="B181" s="94" t="str">
        <f>IF(BPG_Freq="Annuel",2,"")</f>
        <v/>
      </c>
      <c r="C181" s="14" t="str">
        <f>IF(BPG_Freq="Annuel",Calc_BPG!C10*4,"")</f>
        <v/>
      </c>
      <c r="D181" s="14" t="str">
        <f>IF(BPG_Freq="Annuel",Calc_BPG!D10*4,"")</f>
        <v/>
      </c>
      <c r="E181" s="93" t="str">
        <f>IF(BPG_Freq="Annuel",Y2_Treatment_Target,"")</f>
        <v/>
      </c>
      <c r="F181" s="14" t="str">
        <f>IF(BPG_Freq="Annuel",Calc_BPG!F10+Calc_BPG!F11+Calc_BPG!F12+Calc_BPG!F13,"")</f>
        <v/>
      </c>
      <c r="G181" s="14" t="str">
        <f>IF(BPG_Freq="Annuel",Calc_BPG!G10+Calc_BPG!G11+Calc_BPG!G12+Calc_BPG!G13,"")</f>
        <v/>
      </c>
      <c r="H181" s="14" t="str">
        <f>IF(BPG_Freq="Annuel",Calc_BPG!S20,"")</f>
        <v/>
      </c>
      <c r="I181" s="14" t="str">
        <f>IF(BPG_Freq="Annuel",Calc_BPG!I20,"")</f>
        <v/>
      </c>
      <c r="J181" s="14" t="str">
        <f>IF(BPG_Freq="Annuel",Calc_BPG!J20,"")</f>
        <v/>
      </c>
      <c r="K181" s="93" t="str">
        <f>IF(BPG_Freq="Annuel",BPG_PackSize,"")</f>
        <v/>
      </c>
      <c r="L181" s="93" t="str">
        <f>IF(BPG_Freq="Annuel",IF(BPG_PackSize="","Enter pack size",CEILING(Calc_BPG!J20/BPG_PackSize,1)),"")</f>
        <v/>
      </c>
    </row>
    <row r="182" spans="1:12" x14ac:dyDescent="0.35">
      <c r="A182" s="93" t="str">
        <f>IF(BPG_Freq="Annuel","Année 3","")</f>
        <v/>
      </c>
      <c r="B182" s="94" t="str">
        <f>IF(BPG_Freq="Annuel",3,"")</f>
        <v/>
      </c>
      <c r="C182" s="14" t="str">
        <f>IF(BPG_Freq="Annuel",Calc_BPG!C14*4,"")</f>
        <v/>
      </c>
      <c r="D182" s="14" t="str">
        <f>IF(BPG_Freq="Annuel",Calc_BPG!D14*4,"")</f>
        <v/>
      </c>
      <c r="E182" s="93" t="str">
        <f>IF(BPG_Freq="Annuel",Y3_Treatment_Target,"")</f>
        <v/>
      </c>
      <c r="F182" s="14" t="str">
        <f>IF(BPG_Freq="Annuel",Calc_BPG!F14+Calc_BPG!F15+Calc_BPG!F16+Calc_BPG!F17,"")</f>
        <v/>
      </c>
      <c r="G182" s="14" t="str">
        <f>IF(BPG_Freq="Annuel",Calc_BPG!G14+Calc_BPG!G15+Calc_BPG!G16+Calc_BPG!G17,"")</f>
        <v/>
      </c>
      <c r="H182" s="14" t="str">
        <f>IF(BPG_Freq="Annuel",Calc_BPG!S21,"")</f>
        <v/>
      </c>
      <c r="I182" s="14" t="str">
        <f>IF(BPG_Freq="Annuel",Calc_BPG!I21,"")</f>
        <v/>
      </c>
      <c r="J182" s="14" t="str">
        <f>IF(BPG_Freq="Annuel",Calc_BPG!J21,"")</f>
        <v/>
      </c>
      <c r="K182" s="93" t="str">
        <f>IF(BPG_Freq="Annuel",BPG_PackSize,"")</f>
        <v/>
      </c>
      <c r="L182" s="93" t="str">
        <f>IF(BPG_Freq="Annuel",IF(BPG_PackSize="","Enter pack size",CEILING(Calc_BPG!J21/BPG_PackSize,1)),"")</f>
        <v/>
      </c>
    </row>
    <row r="183" spans="1:12" x14ac:dyDescent="0.35">
      <c r="A183" s="97"/>
      <c r="B183" s="98"/>
    </row>
    <row r="184" spans="1:12" s="96" customFormat="1" ht="16" x14ac:dyDescent="0.4">
      <c r="A184" s="86" t="str">
        <f>IF(BPG_Freq="Annuel","TOTAL SUR 3 ANS","")</f>
        <v/>
      </c>
      <c r="B184" s="91"/>
      <c r="C184" s="91"/>
      <c r="D184" s="91"/>
      <c r="E184" s="91"/>
      <c r="F184" s="91"/>
      <c r="G184" s="91"/>
      <c r="H184" s="91"/>
      <c r="I184" s="91"/>
      <c r="J184" s="87" t="str">
        <f>IF(BPG_Freq="Annuel",Calc_BPG!J23,"")</f>
        <v/>
      </c>
      <c r="K184" s="91"/>
      <c r="L184" s="87" t="str">
        <f>IF(BPG_Freq="Annuel",SUM(L180:L182),"")</f>
        <v/>
      </c>
    </row>
    <row r="185" spans="1:12" x14ac:dyDescent="0.35">
      <c r="A185" s="97"/>
      <c r="B185" s="98"/>
    </row>
    <row r="186" spans="1:12" ht="16" x14ac:dyDescent="0.4">
      <c r="A186" s="163" t="s">
        <v>549</v>
      </c>
      <c r="B186" s="92"/>
      <c r="C186" s="92"/>
      <c r="D186" s="92"/>
      <c r="E186" s="92"/>
      <c r="F186" s="92"/>
      <c r="G186" s="92"/>
      <c r="H186" s="92"/>
      <c r="I186" s="92"/>
      <c r="J186" s="80"/>
      <c r="K186" s="92"/>
      <c r="L186" s="80"/>
    </row>
    <row r="187" spans="1:12" ht="58" x14ac:dyDescent="0.35">
      <c r="A187" s="58" t="s">
        <v>537</v>
      </c>
      <c r="B187" s="58" t="s">
        <v>538</v>
      </c>
      <c r="C187" s="57" t="s">
        <v>554</v>
      </c>
      <c r="D187" s="57" t="s">
        <v>555</v>
      </c>
      <c r="E187" s="57" t="s">
        <v>556</v>
      </c>
      <c r="F187" s="57" t="s">
        <v>557</v>
      </c>
      <c r="G187" s="57" t="s">
        <v>558</v>
      </c>
      <c r="H187" s="57" t="s">
        <v>543</v>
      </c>
      <c r="I187" s="57" t="s">
        <v>544</v>
      </c>
      <c r="J187" s="57" t="s">
        <v>546</v>
      </c>
      <c r="K187" s="57" t="s">
        <v>547</v>
      </c>
      <c r="L187" s="57" t="s">
        <v>548</v>
      </c>
    </row>
    <row r="188" spans="1:12" x14ac:dyDescent="0.35">
      <c r="A188" s="93" t="str">
        <f>IF(BPG_Freq="semestriel","S1","")</f>
        <v/>
      </c>
      <c r="B188" s="13" t="str">
        <f>IF(BPG_Freq="semestriel",1,"")</f>
        <v/>
      </c>
      <c r="C188" s="14" t="str">
        <f>IF(BPG_Freq="semestriel",Calc_BPG!C6+Calc_BPG!C7,"")</f>
        <v/>
      </c>
      <c r="D188" s="14" t="str">
        <f>IF(BPG_Freq="semestriel",Calc_BPG!D6+Calc_BPG!D7,"")</f>
        <v/>
      </c>
      <c r="E188" s="93" t="str">
        <f>IF(BPG_Freq="semestriel",Y1_Treatment_Target,"")</f>
        <v/>
      </c>
      <c r="F188" s="14" t="str">
        <f>IF(BPG_Freq="semestriel",Calc_BPG!F6+Calc_BPG!F7,"")</f>
        <v/>
      </c>
      <c r="G188" s="14" t="str">
        <f>IF(BPG_Freq="semestriel",Calc_BPG!G6+Calc_BPG!G7,"")</f>
        <v/>
      </c>
      <c r="H188" s="14" t="str">
        <f>IF(BPG_Freq="semestriel",Calc_BPG!H6+Calc_BPG!H7,"")</f>
        <v/>
      </c>
      <c r="I188" s="14" t="str">
        <f>IF(BPG_Freq="semestriel",Calc_BPG!I6+Calc_BPG!I7,"")</f>
        <v/>
      </c>
      <c r="J188" s="14" t="str">
        <f>IF(BPG_Freq="semestriel",Calc_BPG!J6+Calc_BPG!J7,"")</f>
        <v/>
      </c>
      <c r="K188" s="13" t="str">
        <f t="shared" ref="K188:K193" si="9">IF(BPG_Freq="semestriel",BPG_PackSize,"")</f>
        <v/>
      </c>
      <c r="L188" s="93" t="str">
        <f>IF(BPG_Freq="semestriel",IF(BPG_PackSize="","Enter pack size",CEILING((Calc_BPG!J6+Calc_BPG!J7)/BPG_PackSize,1)),"")</f>
        <v/>
      </c>
    </row>
    <row r="189" spans="1:12" x14ac:dyDescent="0.35">
      <c r="A189" s="93" t="str">
        <f>IF(BPG_Freq="semestriel","S2","")</f>
        <v/>
      </c>
      <c r="B189" s="13" t="str">
        <f>IF(BPG_Freq="semestriel",1,"")</f>
        <v/>
      </c>
      <c r="C189" s="14" t="str">
        <f>IF(BPG_Freq="semestriel",Calc_BPG!C8+Calc_BPG!C9,"")</f>
        <v/>
      </c>
      <c r="D189" s="14" t="str">
        <f>IF(BPG_Freq="semestriel",Calc_BPG!D8+Calc_BPG!D9,"")</f>
        <v/>
      </c>
      <c r="E189" s="93" t="str">
        <f>IF(BPG_Freq="semestriel",Y1_Treatment_Target,"")</f>
        <v/>
      </c>
      <c r="F189" s="14" t="str">
        <f>IF(BPG_Freq="semestriel",Calc_BPG!F8+Calc_BPG!F9,"")</f>
        <v/>
      </c>
      <c r="G189" s="14" t="str">
        <f>IF(BPG_Freq="semestriel",Calc_BPG!G8+Calc_BPG!G9,"")</f>
        <v/>
      </c>
      <c r="H189" s="14" t="str">
        <f>IF(BPG_Freq="semestriel",Calc_BPG!H8+Calc_BPG!H9,"")</f>
        <v/>
      </c>
      <c r="I189" s="14" t="str">
        <f>IF(BPG_Freq="semestriel",Calc_BPG!I8+Calc_BPG!I9,"")</f>
        <v/>
      </c>
      <c r="J189" s="14" t="str">
        <f>IF(BPG_Freq="semestriel",Calc_BPG!J8+Calc_BPG!J9,"")</f>
        <v/>
      </c>
      <c r="K189" s="13" t="str">
        <f t="shared" si="9"/>
        <v/>
      </c>
      <c r="L189" s="93" t="str">
        <f>IF(BPG_Freq="semestriel",IF(BPG_PackSize="","Enter pack size",CEILING((Calc_BPG!J8+Calc_BPG!J9)/BPG_PackSize,1)),"")</f>
        <v/>
      </c>
    </row>
    <row r="190" spans="1:12" x14ac:dyDescent="0.35">
      <c r="A190" s="93" t="str">
        <f>IF(BPG_Freq="semestriel","S1","")</f>
        <v/>
      </c>
      <c r="B190" s="13" t="str">
        <f>IF(BPG_Freq="semestriel",2,"")</f>
        <v/>
      </c>
      <c r="C190" s="14" t="str">
        <f>IF(BPG_Freq="semestriel",Calc_BPG!C10+Calc_BPG!C11,"")</f>
        <v/>
      </c>
      <c r="D190" s="14" t="str">
        <f>IF(BPG_Freq="semestriel",Calc_BPG!D10+Calc_BPG!D11,"")</f>
        <v/>
      </c>
      <c r="E190" s="93" t="str">
        <f>IF(BPG_Freq="semestriel",Y2_Treatment_Target,"")</f>
        <v/>
      </c>
      <c r="F190" s="14" t="str">
        <f>IF(BPG_Freq="semestriel",Calc_BPG!F10+Calc_BPG!F11,"")</f>
        <v/>
      </c>
      <c r="G190" s="14" t="str">
        <f>IF(BPG_Freq="semestriel",Calc_BPG!G10+Calc_BPG!G11,"")</f>
        <v/>
      </c>
      <c r="H190" s="14" t="str">
        <f>IF(BPG_Freq="semestriel",Calc_BPG!S10+Calc_BPG!S11,"")</f>
        <v/>
      </c>
      <c r="I190" s="14" t="str">
        <f>IF(BPG_Freq="semestriel",Calc_BPG!I10+Calc_BPG!I11,"")</f>
        <v/>
      </c>
      <c r="J190" s="14" t="str">
        <f>IF(BPG_Freq="semestriel",Calc_BPG!J10+Calc_BPG!J11,"")</f>
        <v/>
      </c>
      <c r="K190" s="13" t="str">
        <f t="shared" si="9"/>
        <v/>
      </c>
      <c r="L190" s="93" t="str">
        <f>IF(BPG_Freq="semestriel",IF(BPG_PackSize="","Enter pack size",CEILING((Calc_BPG!J10+Calc_BPG!J11)/BPG_PackSize,1)),"")</f>
        <v/>
      </c>
    </row>
    <row r="191" spans="1:12" x14ac:dyDescent="0.35">
      <c r="A191" s="93" t="str">
        <f>IF(BPG_Freq="semestriel","S2","")</f>
        <v/>
      </c>
      <c r="B191" s="13" t="str">
        <f>IF(BPG_Freq="semestriel",2,"")</f>
        <v/>
      </c>
      <c r="C191" s="14" t="str">
        <f>IF(BPG_Freq="semestriel",Calc_BPG!C12+Calc_BPG!C13,"")</f>
        <v/>
      </c>
      <c r="D191" s="14" t="str">
        <f>IF(BPG_Freq="semestriel",Calc_BPG!D12+Calc_BPG!D13,"")</f>
        <v/>
      </c>
      <c r="E191" s="93" t="str">
        <f>IF(BPG_Freq="semestriel",Y2_Treatment_Target,"")</f>
        <v/>
      </c>
      <c r="F191" s="14" t="str">
        <f>IF(BPG_Freq="semestriel",Calc_BPG!F12+Calc_BPG!F13,"")</f>
        <v/>
      </c>
      <c r="G191" s="14" t="str">
        <f>IF(BPG_Freq="semestriel",Calc_BPG!G12+Calc_BPG!G13,"")</f>
        <v/>
      </c>
      <c r="H191" s="14" t="str">
        <f>IF(BPG_Freq="semestriel",Calc_BPG!S12+Calc_BPG!S13,"")</f>
        <v/>
      </c>
      <c r="I191" s="14" t="str">
        <f>IF(BPG_Freq="semestriel",Calc_BPG!I12+Calc_BPG!I13,"")</f>
        <v/>
      </c>
      <c r="J191" s="14" t="str">
        <f>IF(BPG_Freq="semestriel",Calc_BPG!J12+Calc_BPG!J13,"")</f>
        <v/>
      </c>
      <c r="K191" s="13" t="str">
        <f t="shared" si="9"/>
        <v/>
      </c>
      <c r="L191" s="93" t="str">
        <f>IF(BPG_Freq="semestriel",IF(BPG_PackSize="","Enter pack size",CEILING((Calc_BPG!J12+Calc_BPG!J13)/BPG_PackSize,1)),"")</f>
        <v/>
      </c>
    </row>
    <row r="192" spans="1:12" x14ac:dyDescent="0.35">
      <c r="A192" s="93" t="str">
        <f>IF(BPG_Freq="semestriel","S1","")</f>
        <v/>
      </c>
      <c r="B192" s="13" t="str">
        <f>IF(BPG_Freq="semestriel",3,"")</f>
        <v/>
      </c>
      <c r="C192" s="14" t="str">
        <f>IF(BPG_Freq="semestriel",Calc_BPG!C14+Calc_BPG!C15,"")</f>
        <v/>
      </c>
      <c r="D192" s="14" t="str">
        <f>IF(BPG_Freq="semestriel",Calc_BPG!D14+Calc_BPG!D15,"")</f>
        <v/>
      </c>
      <c r="E192" s="93" t="str">
        <f>IF(BPG_Freq="semestriel",Y3_Treatment_Target,"")</f>
        <v/>
      </c>
      <c r="F192" s="14" t="str">
        <f>IF(BPG_Freq="semestriel",Calc_BPG!F14+Calc_BPG!F15,"")</f>
        <v/>
      </c>
      <c r="G192" s="14" t="str">
        <f>IF(BPG_Freq="semestriel",Calc_BPG!G14+Calc_BPG!G15,"")</f>
        <v/>
      </c>
      <c r="H192" s="14" t="str">
        <f>IF(BPG_Freq="semestriel",Calc_BPG!S14+Calc_BPG!S15,"")</f>
        <v/>
      </c>
      <c r="I192" s="14" t="str">
        <f>IF(BPG_Freq="semestriel",Calc_BPG!I14+Calc_BPG!I15,"")</f>
        <v/>
      </c>
      <c r="J192" s="14" t="str">
        <f>IF(BPG_Freq="semestriel",Calc_BPG!J14+Calc_BPG!J15,"")</f>
        <v/>
      </c>
      <c r="K192" s="13" t="str">
        <f t="shared" si="9"/>
        <v/>
      </c>
      <c r="L192" s="93" t="str">
        <f>IF(BPG_Freq="semestriel",IF(BPG_PackSize="","Enter pack size",CEILING((Calc_BPG!J14+Calc_BPG!J15)/BPG_PackSize,1)),"")</f>
        <v/>
      </c>
    </row>
    <row r="193" spans="1:12" x14ac:dyDescent="0.35">
      <c r="A193" s="93" t="str">
        <f>IF(BPG_Freq="semestriel","S2","")</f>
        <v/>
      </c>
      <c r="B193" s="13" t="str">
        <f>IF(BPG_Freq="semestriel",3,"")</f>
        <v/>
      </c>
      <c r="C193" s="14" t="str">
        <f>IF(BPG_Freq="semestriel",Calc_BPG!C16+Calc_BPG!C17,"")</f>
        <v/>
      </c>
      <c r="D193" s="14" t="str">
        <f>IF(BPG_Freq="semestriel",Calc_BPG!D16+Calc_BPG!D17,"")</f>
        <v/>
      </c>
      <c r="E193" s="93" t="str">
        <f>IF(BPG_Freq="semestriel",Y3_Treatment_Target,"")</f>
        <v/>
      </c>
      <c r="F193" s="14" t="str">
        <f>IF(BPG_Freq="semestriel",Calc_BPG!F16+Calc_BPG!F17,"")</f>
        <v/>
      </c>
      <c r="G193" s="14" t="str">
        <f>IF(BPG_Freq="semestriel",Calc_BPG!G16+Calc_BPG!G17,"")</f>
        <v/>
      </c>
      <c r="H193" s="14" t="str">
        <f>IF(BPG_Freq="semestriel",Calc_BPG!S16+Calc_BPG!S17,"")</f>
        <v/>
      </c>
      <c r="I193" s="14" t="str">
        <f>IF(BPG_Freq="semestriel",Calc_BPG!I16+Calc_BPG!I17,"")</f>
        <v/>
      </c>
      <c r="J193" s="14" t="str">
        <f>IF(BPG_Freq="semestriel",Calc_BPG!J16+Calc_BPG!J17,"")</f>
        <v/>
      </c>
      <c r="K193" s="13" t="str">
        <f t="shared" si="9"/>
        <v/>
      </c>
      <c r="L193" s="93" t="str">
        <f>IF(BPG_Freq="semestriel",IF(BPG_PackSize="","Enter pack size",CEILING((Calc_BPG!J16+Calc_BPG!J17)/BPG_PackSize,1)),"")</f>
        <v/>
      </c>
    </row>
    <row r="194" spans="1:12" x14ac:dyDescent="0.35">
      <c r="A194" s="97"/>
      <c r="B194" s="98"/>
    </row>
    <row r="195" spans="1:12" x14ac:dyDescent="0.35">
      <c r="A195" s="24" t="str">
        <f>IF(BPG_Freq="semestriel","Total Année 1","")</f>
        <v/>
      </c>
      <c r="B195" s="105"/>
      <c r="C195" s="105"/>
      <c r="D195" s="105"/>
      <c r="E195" s="105"/>
      <c r="F195" s="106"/>
      <c r="G195" s="106"/>
      <c r="H195" s="107"/>
      <c r="I195" s="107"/>
      <c r="J195" s="107" t="str">
        <f>IF(BPG_Freq="semestriel",J188+J189,"")</f>
        <v/>
      </c>
      <c r="K195" s="107"/>
      <c r="L195" s="107" t="str">
        <f>IF(BPG_Freq="semestriel",L188+L189,"")</f>
        <v/>
      </c>
    </row>
    <row r="196" spans="1:12" x14ac:dyDescent="0.35">
      <c r="A196" s="24" t="str">
        <f>IF(BPG_Freq="semestriel","Total Année 2","")</f>
        <v/>
      </c>
      <c r="B196" s="105"/>
      <c r="C196" s="105"/>
      <c r="D196" s="105"/>
      <c r="E196" s="105"/>
      <c r="F196" s="106"/>
      <c r="G196" s="106"/>
      <c r="H196" s="107"/>
      <c r="I196" s="107"/>
      <c r="J196" s="107" t="str">
        <f>IF(BPG_Freq="semestriel",J190+J191,"")</f>
        <v/>
      </c>
      <c r="K196" s="107"/>
      <c r="L196" s="107" t="str">
        <f>IF(BPG_Freq="semestriel",L190+L191,"")</f>
        <v/>
      </c>
    </row>
    <row r="197" spans="1:12" x14ac:dyDescent="0.35">
      <c r="A197" s="24" t="str">
        <f>IF(BPG_Freq="semestriel","Total Année 3","")</f>
        <v/>
      </c>
      <c r="B197" s="105"/>
      <c r="C197" s="105"/>
      <c r="D197" s="105"/>
      <c r="E197" s="105"/>
      <c r="F197" s="106"/>
      <c r="G197" s="106"/>
      <c r="H197" s="107"/>
      <c r="I197" s="107"/>
      <c r="J197" s="107" t="str">
        <f>IF(BPG_Freq="semestriel",J192+J193,"")</f>
        <v/>
      </c>
      <c r="K197" s="107"/>
      <c r="L197" s="107" t="str">
        <f>IF(BPG_Freq="semestriel",L192+L193,"")</f>
        <v/>
      </c>
    </row>
    <row r="198" spans="1:12" x14ac:dyDescent="0.35">
      <c r="A198" s="9"/>
      <c r="B198" s="9"/>
      <c r="C198" s="9"/>
      <c r="D198" s="9"/>
      <c r="E198" s="9"/>
      <c r="F198" s="9"/>
      <c r="G198" s="9"/>
      <c r="H198" s="9"/>
      <c r="I198" s="9"/>
      <c r="J198" s="95"/>
      <c r="K198" s="9"/>
      <c r="L198" s="95"/>
    </row>
    <row r="199" spans="1:12" s="96" customFormat="1" ht="16" x14ac:dyDescent="0.4">
      <c r="A199" s="86" t="str">
        <f>IF(BPG_Freq="semestriel","TOTAL SUR 3 ANS","")</f>
        <v/>
      </c>
      <c r="B199" s="91"/>
      <c r="C199" s="91"/>
      <c r="D199" s="91"/>
      <c r="E199" s="91"/>
      <c r="F199" s="91"/>
      <c r="G199" s="91"/>
      <c r="H199" s="91"/>
      <c r="I199" s="91"/>
      <c r="J199" s="87" t="str">
        <f>IF(BPG_Freq="semestriel",Calc_BPG!J23,"")</f>
        <v/>
      </c>
      <c r="K199" s="91"/>
      <c r="L199" s="87" t="str">
        <f>IF(DualTest_Freq="trimestriel",SUM(L195:L197),"")</f>
        <v/>
      </c>
    </row>
    <row r="200" spans="1:12" x14ac:dyDescent="0.35">
      <c r="A200" s="97"/>
      <c r="B200" s="98"/>
    </row>
    <row r="201" spans="1:12" x14ac:dyDescent="0.35">
      <c r="A201" s="163" t="s">
        <v>550</v>
      </c>
    </row>
    <row r="202" spans="1:12" ht="58" x14ac:dyDescent="0.35">
      <c r="A202" s="58" t="s">
        <v>537</v>
      </c>
      <c r="B202" s="58" t="s">
        <v>538</v>
      </c>
      <c r="C202" s="57" t="s">
        <v>554</v>
      </c>
      <c r="D202" s="57" t="s">
        <v>555</v>
      </c>
      <c r="E202" s="57" t="s">
        <v>556</v>
      </c>
      <c r="F202" s="57" t="s">
        <v>557</v>
      </c>
      <c r="G202" s="57" t="s">
        <v>558</v>
      </c>
      <c r="H202" s="57" t="s">
        <v>543</v>
      </c>
      <c r="I202" s="57" t="s">
        <v>544</v>
      </c>
      <c r="J202" s="57" t="s">
        <v>546</v>
      </c>
      <c r="K202" s="57" t="s">
        <v>547</v>
      </c>
      <c r="L202" s="57" t="s">
        <v>548</v>
      </c>
    </row>
    <row r="203" spans="1:12" x14ac:dyDescent="0.35">
      <c r="A203" s="93" t="str">
        <f>IF(BPG_Freq="trimestriel","T1","")</f>
        <v/>
      </c>
      <c r="B203" s="94" t="str">
        <f>IF(BPG_Freq="trimestriel",1,"")</f>
        <v/>
      </c>
      <c r="C203" s="14" t="str">
        <f>IF(BPG_Freq="trimestriel",Calc_BPG!C6,"")</f>
        <v/>
      </c>
      <c r="D203" s="14" t="str">
        <f>IF(BPG_Freq="trimestriel",Calc_BPG!D6,"")</f>
        <v/>
      </c>
      <c r="E203" s="93" t="str">
        <f>IF(BPG_Freq="trimestriel",Y1_Treatment_Target,"")</f>
        <v/>
      </c>
      <c r="F203" s="14" t="str">
        <f>IF(BPG_Freq="trimestriel",Calc_BPG!F6,"")</f>
        <v/>
      </c>
      <c r="G203" s="14" t="str">
        <f>IF(BPG_Freq="trimestriel",Calc_BPG!G6,"")</f>
        <v/>
      </c>
      <c r="H203" s="14" t="str">
        <f>IF(BPG_Freq="trimestriel",Calc_BPG!H6,"")</f>
        <v/>
      </c>
      <c r="I203" s="14" t="str">
        <f>IF(BPG_Freq="trimestriel",Calc_BPG!I6,"")</f>
        <v/>
      </c>
      <c r="J203" s="14" t="str">
        <f>IF(BPG_Freq="trimestriel",Calc_BPG!J6,"")</f>
        <v/>
      </c>
      <c r="K203" s="13" t="str">
        <f t="shared" ref="K203:K214" si="10">IF(BPG_Freq="trimestriel",BPG_PackSize,"")</f>
        <v/>
      </c>
      <c r="L203" s="93" t="str">
        <f>IF(BPG_Freq="trimestriel",IF(BPG_PackSize="","Enter pack size",CEILING(Calc_BPG!J6/BPG_PackSize,1)),"")</f>
        <v/>
      </c>
    </row>
    <row r="204" spans="1:12" x14ac:dyDescent="0.35">
      <c r="A204" s="93" t="str">
        <f>IF(BPG_Freq="trimestriel","T2","")</f>
        <v/>
      </c>
      <c r="B204" s="94" t="str">
        <f>IF(BPG_Freq="trimestriel",1,"")</f>
        <v/>
      </c>
      <c r="C204" s="14" t="str">
        <f>IF(BPG_Freq="trimestriel",Calc_BPG!C7,"")</f>
        <v/>
      </c>
      <c r="D204" s="14" t="str">
        <f>IF(BPG_Freq="trimestriel",Calc_BPG!D7,"")</f>
        <v/>
      </c>
      <c r="E204" s="93" t="str">
        <f>IF(BPG_Freq="trimestriel",Y1_Treatment_Target,"")</f>
        <v/>
      </c>
      <c r="F204" s="14" t="str">
        <f>IF(BPG_Freq="trimestriel",Calc_BPG!F7,"")</f>
        <v/>
      </c>
      <c r="G204" s="14" t="str">
        <f>IF(BPG_Freq="trimestriel",Calc_BPG!G7,"")</f>
        <v/>
      </c>
      <c r="H204" s="14" t="str">
        <f>IF(BPG_Freq="trimestriel",Calc_BPG!H7,"")</f>
        <v/>
      </c>
      <c r="I204" s="14" t="str">
        <f>IF(BPG_Freq="trimestriel",Calc_BPG!I7,"")</f>
        <v/>
      </c>
      <c r="J204" s="14" t="str">
        <f>IF(BPG_Freq="trimestriel",Calc_BPG!J7,"")</f>
        <v/>
      </c>
      <c r="K204" s="13" t="str">
        <f t="shared" si="10"/>
        <v/>
      </c>
      <c r="L204" s="93" t="str">
        <f>IF(BPG_Freq="trimestriel",IF(BPG_PackSize="","Enter pack size",CEILING(Calc_BPG!J7/BPG_PackSize,1)),"")</f>
        <v/>
      </c>
    </row>
    <row r="205" spans="1:12" x14ac:dyDescent="0.35">
      <c r="A205" s="93" t="str">
        <f>IF(BPG_Freq="trimestriel","T3","")</f>
        <v/>
      </c>
      <c r="B205" s="94" t="str">
        <f>IF(BPG_Freq="trimestriel",1,"")</f>
        <v/>
      </c>
      <c r="C205" s="14" t="str">
        <f>IF(BPG_Freq="trimestriel",Calc_BPG!C8,"")</f>
        <v/>
      </c>
      <c r="D205" s="14" t="str">
        <f>IF(BPG_Freq="trimestriel",Calc_BPG!D8,"")</f>
        <v/>
      </c>
      <c r="E205" s="93" t="str">
        <f>IF(BPG_Freq="trimestriel",Y1_Treatment_Target,"")</f>
        <v/>
      </c>
      <c r="F205" s="14" t="str">
        <f>IF(BPG_Freq="trimestriel",Calc_BPG!F8,"")</f>
        <v/>
      </c>
      <c r="G205" s="14" t="str">
        <f>IF(BPG_Freq="trimestriel",Calc_BPG!G8,"")</f>
        <v/>
      </c>
      <c r="H205" s="14" t="str">
        <f>IF(BPG_Freq="trimestriel",Calc_BPG!H8,"")</f>
        <v/>
      </c>
      <c r="I205" s="14" t="str">
        <f>IF(BPG_Freq="trimestriel",Calc_BPG!I8,"")</f>
        <v/>
      </c>
      <c r="J205" s="14" t="str">
        <f>IF(BPG_Freq="trimestriel",Calc_BPG!J8,"")</f>
        <v/>
      </c>
      <c r="K205" s="13" t="str">
        <f t="shared" si="10"/>
        <v/>
      </c>
      <c r="L205" s="93" t="str">
        <f>IF(BPG_Freq="trimestriel",IF(BPG_PackSize="","Enter pack size",CEILING(Calc_BPG!J8/BPG_PackSize,1)),"")</f>
        <v/>
      </c>
    </row>
    <row r="206" spans="1:12" x14ac:dyDescent="0.35">
      <c r="A206" s="93" t="str">
        <f>IF(BPG_Freq="trimestriel","T4","")</f>
        <v/>
      </c>
      <c r="B206" s="94" t="str">
        <f>IF(BPG_Freq="trimestriel",1,"")</f>
        <v/>
      </c>
      <c r="C206" s="14" t="str">
        <f>IF(BPG_Freq="trimestriel",Calc_BPG!C9,"")</f>
        <v/>
      </c>
      <c r="D206" s="14" t="str">
        <f>IF(BPG_Freq="trimestriel",Calc_BPG!D9,"")</f>
        <v/>
      </c>
      <c r="E206" s="93" t="str">
        <f>IF(BPG_Freq="trimestriel",Y1_Treatment_Target,"")</f>
        <v/>
      </c>
      <c r="F206" s="14" t="str">
        <f>IF(BPG_Freq="trimestriel",Calc_BPG!F9,"")</f>
        <v/>
      </c>
      <c r="G206" s="14" t="str">
        <f>IF(BPG_Freq="trimestriel",Calc_BPG!G9,"")</f>
        <v/>
      </c>
      <c r="H206" s="14" t="str">
        <f>IF(BPG_Freq="trimestriel",Calc_BPG!H9,"")</f>
        <v/>
      </c>
      <c r="I206" s="14" t="str">
        <f>IF(BPG_Freq="trimestriel",Calc_BPG!I9,"")</f>
        <v/>
      </c>
      <c r="J206" s="14" t="str">
        <f>IF(BPG_Freq="trimestriel",Calc_BPG!J9,"")</f>
        <v/>
      </c>
      <c r="K206" s="13" t="str">
        <f t="shared" si="10"/>
        <v/>
      </c>
      <c r="L206" s="93" t="str">
        <f>IF(BPG_Freq="trimestriel",IF(BPG_PackSize="","Enter pack size",CEILING(Calc_BPG!J9/BPG_PackSize,1)),"")</f>
        <v/>
      </c>
    </row>
    <row r="207" spans="1:12" x14ac:dyDescent="0.35">
      <c r="A207" s="93" t="str">
        <f>IF(BPG_Freq="trimestriel","T1","")</f>
        <v/>
      </c>
      <c r="B207" s="94" t="str">
        <f>IF(BPG_Freq="trimestriel",2,"")</f>
        <v/>
      </c>
      <c r="C207" s="14" t="str">
        <f>IF(BPG_Freq="trimestriel",Calc_BPG!C10,"")</f>
        <v/>
      </c>
      <c r="D207" s="14" t="str">
        <f>IF(BPG_Freq="trimestriel",Calc_BPG!D10,"")</f>
        <v/>
      </c>
      <c r="E207" s="93" t="str">
        <f>IF(BPG_Freq="trimestriel",Y2_Treatment_Target,"")</f>
        <v/>
      </c>
      <c r="F207" s="14" t="str">
        <f>IF(BPG_Freq="trimestriel",Calc_BPG!F10,"")</f>
        <v/>
      </c>
      <c r="G207" s="14" t="str">
        <f>IF(BPG_Freq="trimestriel",Calc_BPG!G10,"")</f>
        <v/>
      </c>
      <c r="H207" s="14" t="str">
        <f>IF(BPG_Freq="trimestriel",Calc_BPG!S10,"")</f>
        <v/>
      </c>
      <c r="I207" s="14" t="str">
        <f>IF(BPG_Freq="trimestriel",Calc_BPG!I10,"")</f>
        <v/>
      </c>
      <c r="J207" s="14" t="str">
        <f>IF(BPG_Freq="trimestriel",Calc_BPG!J10,"")</f>
        <v/>
      </c>
      <c r="K207" s="13" t="str">
        <f t="shared" si="10"/>
        <v/>
      </c>
      <c r="L207" s="93" t="str">
        <f>IF(BPG_Freq="trimestriel",IF(BPG_PackSize="","Enter pack size",CEILING(Calc_BPG!J10/BPG_PackSize,1)),"")</f>
        <v/>
      </c>
    </row>
    <row r="208" spans="1:12" x14ac:dyDescent="0.35">
      <c r="A208" s="93" t="str">
        <f>IF(BPG_Freq="trimestriel","T2","")</f>
        <v/>
      </c>
      <c r="B208" s="94" t="str">
        <f>IF(BPG_Freq="trimestriel",2,"")</f>
        <v/>
      </c>
      <c r="C208" s="14" t="str">
        <f>IF(BPG_Freq="trimestriel",Calc_BPG!C11,"")</f>
        <v/>
      </c>
      <c r="D208" s="14" t="str">
        <f>IF(BPG_Freq="trimestriel",Calc_BPG!D11,"")</f>
        <v/>
      </c>
      <c r="E208" s="93" t="str">
        <f>IF(BPG_Freq="trimestriel",Y2_Treatment_Target,"")</f>
        <v/>
      </c>
      <c r="F208" s="14" t="str">
        <f>IF(BPG_Freq="trimestriel",Calc_BPG!F11,"")</f>
        <v/>
      </c>
      <c r="G208" s="14" t="str">
        <f>IF(BPG_Freq="trimestriel",Calc_BPG!G11,"")</f>
        <v/>
      </c>
      <c r="H208" s="14" t="str">
        <f>IF(BPG_Freq="trimestriel",Calc_BPG!S11,"")</f>
        <v/>
      </c>
      <c r="I208" s="14" t="str">
        <f>IF(BPG_Freq="trimestriel",Calc_BPG!I11,"")</f>
        <v/>
      </c>
      <c r="J208" s="14" t="str">
        <f>IF(BPG_Freq="trimestriel",Calc_BPG!J11,"")</f>
        <v/>
      </c>
      <c r="K208" s="13" t="str">
        <f t="shared" si="10"/>
        <v/>
      </c>
      <c r="L208" s="93" t="str">
        <f>IF(BPG_Freq="trimestriel",IF(BPG_PackSize="","Enter pack size",CEILING(Calc_BPG!J11/BPG_PackSize,1)),"")</f>
        <v/>
      </c>
    </row>
    <row r="209" spans="1:12" x14ac:dyDescent="0.35">
      <c r="A209" s="93" t="str">
        <f>IF(BPG_Freq="trimestriel","T3","")</f>
        <v/>
      </c>
      <c r="B209" s="94" t="str">
        <f>IF(BPG_Freq="trimestriel",2,"")</f>
        <v/>
      </c>
      <c r="C209" s="14" t="str">
        <f>IF(BPG_Freq="trimestriel",Calc_BPG!C12,"")</f>
        <v/>
      </c>
      <c r="D209" s="14" t="str">
        <f>IF(BPG_Freq="trimestriel",Calc_BPG!D12,"")</f>
        <v/>
      </c>
      <c r="E209" s="93" t="str">
        <f>IF(BPG_Freq="trimestriel",Y2_Treatment_Target,"")</f>
        <v/>
      </c>
      <c r="F209" s="14" t="str">
        <f>IF(BPG_Freq="trimestriel",Calc_BPG!F12,"")</f>
        <v/>
      </c>
      <c r="G209" s="14" t="str">
        <f>IF(BPG_Freq="trimestriel",Calc_BPG!G12,"")</f>
        <v/>
      </c>
      <c r="H209" s="14" t="str">
        <f>IF(BPG_Freq="trimestriel",Calc_BPG!S12,"")</f>
        <v/>
      </c>
      <c r="I209" s="14" t="str">
        <f>IF(BPG_Freq="trimestriel",Calc_BPG!I12,"")</f>
        <v/>
      </c>
      <c r="J209" s="14" t="str">
        <f>IF(BPG_Freq="trimestriel",Calc_BPG!J12,"")</f>
        <v/>
      </c>
      <c r="K209" s="13" t="str">
        <f t="shared" si="10"/>
        <v/>
      </c>
      <c r="L209" s="93" t="str">
        <f>IF(BPG_Freq="trimestriel",IF(BPG_PackSize="","Enter pack size",CEILING(Calc_BPG!J12/BPG_PackSize,1)),"")</f>
        <v/>
      </c>
    </row>
    <row r="210" spans="1:12" x14ac:dyDescent="0.35">
      <c r="A210" s="93" t="str">
        <f>IF(BPG_Freq="trimestriel","T4","")</f>
        <v/>
      </c>
      <c r="B210" s="94" t="str">
        <f>IF(BPG_Freq="trimestriel",2,"")</f>
        <v/>
      </c>
      <c r="C210" s="14" t="str">
        <f>IF(BPG_Freq="trimestriel",Calc_BPG!C13,"")</f>
        <v/>
      </c>
      <c r="D210" s="14" t="str">
        <f>IF(BPG_Freq="trimestriel",Calc_BPG!D13,"")</f>
        <v/>
      </c>
      <c r="E210" s="93" t="str">
        <f>IF(BPG_Freq="trimestriel",Y2_Treatment_Target,"")</f>
        <v/>
      </c>
      <c r="F210" s="14" t="str">
        <f>IF(BPG_Freq="trimestriel",Calc_BPG!F13,"")</f>
        <v/>
      </c>
      <c r="G210" s="14" t="str">
        <f>IF(BPG_Freq="trimestriel",Calc_BPG!G13,"")</f>
        <v/>
      </c>
      <c r="H210" s="14" t="str">
        <f>IF(BPG_Freq="trimestriel",Calc_BPG!S13,"")</f>
        <v/>
      </c>
      <c r="I210" s="14" t="str">
        <f>IF(BPG_Freq="trimestriel",Calc_BPG!I13,"")</f>
        <v/>
      </c>
      <c r="J210" s="14" t="str">
        <f>IF(BPG_Freq="trimestriel",Calc_BPG!J13,"")</f>
        <v/>
      </c>
      <c r="K210" s="13" t="str">
        <f t="shared" si="10"/>
        <v/>
      </c>
      <c r="L210" s="93" t="str">
        <f>IF(BPG_Freq="trimestriel",IF(BPG_PackSize="","Enter pack size",CEILING(Calc_BPG!J13/BPG_PackSize,1)),"")</f>
        <v/>
      </c>
    </row>
    <row r="211" spans="1:12" x14ac:dyDescent="0.35">
      <c r="A211" s="93" t="str">
        <f>IF(BPG_Freq="trimestriel","T1","")</f>
        <v/>
      </c>
      <c r="B211" s="94" t="str">
        <f>IF(BPG_Freq="trimestriel",3,"")</f>
        <v/>
      </c>
      <c r="C211" s="14" t="str">
        <f>IF(BPG_Freq="trimestriel",Calc_BPG!C14,"")</f>
        <v/>
      </c>
      <c r="D211" s="14" t="str">
        <f>IF(BPG_Freq="trimestriel",Calc_BPG!D14,"")</f>
        <v/>
      </c>
      <c r="E211" s="93" t="str">
        <f>IF(BPG_Freq="trimestriel",Y3_Treatment_Target,"")</f>
        <v/>
      </c>
      <c r="F211" s="14" t="str">
        <f>IF(BPG_Freq="trimestriel",Calc_BPG!F14,"")</f>
        <v/>
      </c>
      <c r="G211" s="14" t="str">
        <f>IF(BPG_Freq="trimestriel",Calc_BPG!G14,"")</f>
        <v/>
      </c>
      <c r="H211" s="14" t="str">
        <f>IF(BPG_Freq="trimestriel",Calc_BPG!S14,"")</f>
        <v/>
      </c>
      <c r="I211" s="14" t="str">
        <f>IF(BPG_Freq="trimestriel",Calc_BPG!I14,"")</f>
        <v/>
      </c>
      <c r="J211" s="14" t="str">
        <f>IF(BPG_Freq="trimestriel",Calc_BPG!J14,"")</f>
        <v/>
      </c>
      <c r="K211" s="13" t="str">
        <f t="shared" si="10"/>
        <v/>
      </c>
      <c r="L211" s="93" t="str">
        <f>IF(BPG_Freq="trimestriel",IF(BPG_PackSize="","Enter pack size",CEILING(Calc_BPG!J14/BPG_PackSize,1)),"")</f>
        <v/>
      </c>
    </row>
    <row r="212" spans="1:12" x14ac:dyDescent="0.35">
      <c r="A212" s="93" t="str">
        <f>IF(BPG_Freq="trimestriel","T2","")</f>
        <v/>
      </c>
      <c r="B212" s="94" t="str">
        <f>IF(BPG_Freq="trimestriel",3,"")</f>
        <v/>
      </c>
      <c r="C212" s="14" t="str">
        <f>IF(BPG_Freq="trimestriel",Calc_BPG!C15,"")</f>
        <v/>
      </c>
      <c r="D212" s="14" t="str">
        <f>IF(BPG_Freq="trimestriel",Calc_BPG!D15,"")</f>
        <v/>
      </c>
      <c r="E212" s="93" t="str">
        <f>IF(BPG_Freq="trimestriel",Y3_Treatment_Target,"")</f>
        <v/>
      </c>
      <c r="F212" s="14" t="str">
        <f>IF(BPG_Freq="trimestriel",Calc_BPG!F15,"")</f>
        <v/>
      </c>
      <c r="G212" s="14" t="str">
        <f>IF(BPG_Freq="trimestriel",Calc_BPG!G15,"")</f>
        <v/>
      </c>
      <c r="H212" s="14" t="str">
        <f>IF(BPG_Freq="trimestriel",Calc_BPG!S15,"")</f>
        <v/>
      </c>
      <c r="I212" s="14" t="str">
        <f>IF(BPG_Freq="trimestriel",Calc_BPG!I15,"")</f>
        <v/>
      </c>
      <c r="J212" s="14" t="str">
        <f>IF(BPG_Freq="trimestriel",Calc_BPG!J15,"")</f>
        <v/>
      </c>
      <c r="K212" s="13" t="str">
        <f t="shared" si="10"/>
        <v/>
      </c>
      <c r="L212" s="93" t="str">
        <f>IF(BPG_Freq="trimestriel",IF(BPG_PackSize="","Enter pack size",CEILING(Calc_BPG!J15/BPG_PackSize,1)),"")</f>
        <v/>
      </c>
    </row>
    <row r="213" spans="1:12" x14ac:dyDescent="0.35">
      <c r="A213" s="93" t="str">
        <f>IF(BPG_Freq="trimestriel","T3","")</f>
        <v/>
      </c>
      <c r="B213" s="94" t="str">
        <f>IF(BPG_Freq="trimestriel",3,"")</f>
        <v/>
      </c>
      <c r="C213" s="14" t="str">
        <f>IF(BPG_Freq="trimestriel",Calc_BPG!C16,"")</f>
        <v/>
      </c>
      <c r="D213" s="14" t="str">
        <f>IF(BPG_Freq="trimestriel",Calc_BPG!D16,"")</f>
        <v/>
      </c>
      <c r="E213" s="93" t="str">
        <f>IF(BPG_Freq="trimestriel",Y3_Treatment_Target,"")</f>
        <v/>
      </c>
      <c r="F213" s="14" t="str">
        <f>IF(BPG_Freq="trimestriel",Calc_BPG!F16,"")</f>
        <v/>
      </c>
      <c r="G213" s="14" t="str">
        <f>IF(BPG_Freq="trimestriel",Calc_BPG!G16,"")</f>
        <v/>
      </c>
      <c r="H213" s="14" t="str">
        <f>IF(BPG_Freq="trimestriel",Calc_BPG!S16,"")</f>
        <v/>
      </c>
      <c r="I213" s="14" t="str">
        <f>IF(BPG_Freq="trimestriel",Calc_BPG!I16,"")</f>
        <v/>
      </c>
      <c r="J213" s="14" t="str">
        <f>IF(BPG_Freq="trimestriel",Calc_BPG!J16,"")</f>
        <v/>
      </c>
      <c r="K213" s="13" t="str">
        <f t="shared" si="10"/>
        <v/>
      </c>
      <c r="L213" s="93" t="str">
        <f>IF(BPG_Freq="trimestriel",IF(BPG_PackSize="","Enter pack size",CEILING(Calc_BPG!J16/BPG_PackSize,1)),"")</f>
        <v/>
      </c>
    </row>
    <row r="214" spans="1:12" x14ac:dyDescent="0.35">
      <c r="A214" s="93" t="str">
        <f>IF(BPG_Freq="trimestriel","T4","")</f>
        <v/>
      </c>
      <c r="B214" s="94" t="str">
        <f>IF(BPG_Freq="trimestriel",3,"")</f>
        <v/>
      </c>
      <c r="C214" s="14" t="str">
        <f>IF(BPG_Freq="trimestriel",Calc_BPG!C17,"")</f>
        <v/>
      </c>
      <c r="D214" s="14" t="str">
        <f>IF(BPG_Freq="trimestriel",Calc_BPG!D17,"")</f>
        <v/>
      </c>
      <c r="E214" s="93" t="str">
        <f>IF(BPG_Freq="trimestriel",Y3_Treatment_Target,"")</f>
        <v/>
      </c>
      <c r="F214" s="14" t="str">
        <f>IF(BPG_Freq="trimestriel",Calc_BPG!F17,"")</f>
        <v/>
      </c>
      <c r="G214" s="14" t="str">
        <f>IF(BPG_Freq="trimestriel",Calc_BPG!G17,"")</f>
        <v/>
      </c>
      <c r="H214" s="14" t="str">
        <f>IF(BPG_Freq="trimestriel",Calc_BPG!S17,"")</f>
        <v/>
      </c>
      <c r="I214" s="14" t="str">
        <f>IF(BPG_Freq="trimestriel",Calc_BPG!I17,"")</f>
        <v/>
      </c>
      <c r="J214" s="14" t="str">
        <f>IF(BPG_Freq="trimestriel",Calc_BPG!J17,"")</f>
        <v/>
      </c>
      <c r="K214" s="13" t="str">
        <f t="shared" si="10"/>
        <v/>
      </c>
      <c r="L214" s="93" t="str">
        <f>IF(BPG_Freq="trimestriel",IF(BPG_PackSize="","Enter pack size",CEILING(Calc_BPG!J17/BPG_PackSize,1)),"")</f>
        <v/>
      </c>
    </row>
    <row r="215" spans="1:12" x14ac:dyDescent="0.35">
      <c r="A215" s="97"/>
      <c r="B215" s="98"/>
    </row>
    <row r="216" spans="1:12" x14ac:dyDescent="0.35">
      <c r="A216" s="24" t="str">
        <f>IF(BPG_Freq="trimestriel","Total Année 1","")</f>
        <v/>
      </c>
      <c r="B216" s="105"/>
      <c r="C216" s="105"/>
      <c r="D216" s="105"/>
      <c r="E216" s="105"/>
      <c r="F216" s="106"/>
      <c r="G216" s="106"/>
      <c r="H216" s="107"/>
      <c r="I216" s="107"/>
      <c r="J216" s="107" t="str">
        <f>IF(BPG_Freq="trimestriel",Calc_BPG!J19,"")</f>
        <v/>
      </c>
      <c r="K216" s="107"/>
      <c r="L216" s="107" t="str">
        <f>IF(BPG_Freq="trimestriel",SUM(L203:L206),"")</f>
        <v/>
      </c>
    </row>
    <row r="217" spans="1:12" x14ac:dyDescent="0.35">
      <c r="A217" s="24" t="str">
        <f>IF(BPG_Freq="trimestriel","Total Année 2","")</f>
        <v/>
      </c>
      <c r="B217" s="105"/>
      <c r="C217" s="105"/>
      <c r="D217" s="105"/>
      <c r="E217" s="105"/>
      <c r="F217" s="106"/>
      <c r="G217" s="106"/>
      <c r="H217" s="107"/>
      <c r="I217" s="107"/>
      <c r="J217" s="107" t="str">
        <f>IF(BPG_Freq="trimestriel",Calc_BPG!J20,"")</f>
        <v/>
      </c>
      <c r="K217" s="107"/>
      <c r="L217" s="107" t="str">
        <f>IF(BPG_Freq="trimestriel",SUM(L207:L210),"")</f>
        <v/>
      </c>
    </row>
    <row r="218" spans="1:12" x14ac:dyDescent="0.35">
      <c r="A218" s="24" t="str">
        <f>IF(BPG_Freq="trimestriel","Total Année 3","")</f>
        <v/>
      </c>
      <c r="B218" s="105"/>
      <c r="C218" s="105"/>
      <c r="D218" s="105"/>
      <c r="E218" s="105"/>
      <c r="F218" s="106"/>
      <c r="G218" s="106"/>
      <c r="H218" s="107"/>
      <c r="I218" s="107"/>
      <c r="J218" s="107" t="str">
        <f>IF(BPG_Freq="trimestriel",Calc_BPG!J21,"")</f>
        <v/>
      </c>
      <c r="K218" s="107"/>
      <c r="L218" s="107" t="str">
        <f>IF(BPG_Freq="trimestriel",SUM(L211:L214),"")</f>
        <v/>
      </c>
    </row>
    <row r="219" spans="1:12" x14ac:dyDescent="0.35">
      <c r="A219" s="9"/>
      <c r="B219" s="9"/>
      <c r="C219" s="9"/>
      <c r="D219" s="9"/>
      <c r="E219" s="9"/>
      <c r="F219" s="9"/>
      <c r="G219" s="9"/>
      <c r="H219" s="9"/>
      <c r="I219" s="9"/>
      <c r="J219" s="95"/>
      <c r="K219" s="9"/>
      <c r="L219" s="95"/>
    </row>
    <row r="220" spans="1:12" s="96" customFormat="1" ht="16" x14ac:dyDescent="0.4">
      <c r="A220" s="86" t="str">
        <f>IF(BPG_Freq="trimestriel","TOTAL SUR 3 ANS","")</f>
        <v/>
      </c>
      <c r="B220" s="91"/>
      <c r="C220" s="91"/>
      <c r="D220" s="91"/>
      <c r="E220" s="91"/>
      <c r="F220" s="91"/>
      <c r="G220" s="91"/>
      <c r="H220" s="91"/>
      <c r="I220" s="91"/>
      <c r="J220" s="87" t="str">
        <f>IF(BPG_Freq="trimestriel",Calc_BPG!J23,"")</f>
        <v/>
      </c>
      <c r="K220" s="91"/>
      <c r="L220" s="87" t="str">
        <f>IF(BPG_Freq="trimestriel",SUM(L216:L218),"")</f>
        <v/>
      </c>
    </row>
    <row r="221" spans="1:12" x14ac:dyDescent="0.35">
      <c r="A221" s="97"/>
      <c r="B221" s="98"/>
    </row>
    <row r="222" spans="1:12" x14ac:dyDescent="0.35">
      <c r="A222" s="97" t="s">
        <v>70</v>
      </c>
      <c r="B222" s="98" t="str">
        <f>IF(BPG_Freq="Annuel",L180,IF(BPG_Freq="semestriel",L195,IF(BPG_Freq="trimestriel",L216,"")))</f>
        <v/>
      </c>
    </row>
    <row r="223" spans="1:12" x14ac:dyDescent="0.35">
      <c r="A223" s="97" t="s">
        <v>71</v>
      </c>
      <c r="B223" s="98" t="str">
        <f>IF(BPG_Freq="Annuel",L181,IF(BPG_Freq="semestriel",L196,IF(BPG_Freq="trimestriel",L217,"")))</f>
        <v/>
      </c>
    </row>
    <row r="224" spans="1:12" x14ac:dyDescent="0.35">
      <c r="A224" s="97" t="s">
        <v>72</v>
      </c>
      <c r="B224" s="98" t="str">
        <f>IF(BPG_Freq="Annuel",L182,IF(BPG_Freq="semestriel",L197,IF(BPG_Freq="trimestriel",L218,"")))</f>
        <v/>
      </c>
    </row>
    <row r="225" spans="1:13" x14ac:dyDescent="0.35">
      <c r="A225" s="97" t="s">
        <v>73</v>
      </c>
      <c r="B225" s="98" t="str">
        <f>IFERROR(B222+B223+B224,"")</f>
        <v/>
      </c>
    </row>
    <row r="226" spans="1:13" ht="15" thickBot="1" x14ac:dyDescent="0.4"/>
    <row r="227" spans="1:13" ht="16.5" thickBot="1" x14ac:dyDescent="0.45">
      <c r="A227" s="374" t="s">
        <v>559</v>
      </c>
      <c r="B227" s="375"/>
      <c r="C227" s="375"/>
      <c r="D227" s="375"/>
      <c r="E227" s="375"/>
      <c r="F227" s="375"/>
      <c r="G227" s="375"/>
      <c r="H227" s="375"/>
      <c r="I227" s="375"/>
      <c r="J227" s="375"/>
      <c r="K227" s="375"/>
      <c r="L227" s="375"/>
      <c r="M227" s="376"/>
    </row>
    <row r="228" spans="1:13" x14ac:dyDescent="0.35">
      <c r="A228" s="97"/>
      <c r="B228" s="98"/>
    </row>
    <row r="229" spans="1:13" x14ac:dyDescent="0.35">
      <c r="A229" s="163" t="s">
        <v>536</v>
      </c>
    </row>
    <row r="230" spans="1:13" ht="58" x14ac:dyDescent="0.35">
      <c r="A230" s="58" t="s">
        <v>537</v>
      </c>
      <c r="B230" s="58" t="s">
        <v>538</v>
      </c>
      <c r="C230" s="57" t="s">
        <v>554</v>
      </c>
      <c r="D230" s="57" t="s">
        <v>555</v>
      </c>
      <c r="E230" s="57" t="s">
        <v>556</v>
      </c>
      <c r="F230" s="57" t="s">
        <v>560</v>
      </c>
      <c r="G230" s="57" t="s">
        <v>561</v>
      </c>
      <c r="H230" s="57" t="s">
        <v>562</v>
      </c>
      <c r="I230" s="57" t="s">
        <v>543</v>
      </c>
      <c r="J230" s="57" t="s">
        <v>544</v>
      </c>
      <c r="K230" s="57" t="s">
        <v>546</v>
      </c>
      <c r="L230" s="57" t="s">
        <v>547</v>
      </c>
      <c r="M230" s="57" t="s">
        <v>548</v>
      </c>
    </row>
    <row r="231" spans="1:13" x14ac:dyDescent="0.35">
      <c r="A231" s="93" t="str">
        <f>IF(TDF_Freq="Annuel","Année 1","")</f>
        <v/>
      </c>
      <c r="B231" s="94" t="str">
        <f>IF(TDF_Freq="Annuel",1,"")</f>
        <v/>
      </c>
      <c r="C231" s="14" t="str">
        <f>IF(TDF_Freq="Annuel",Calc_TDF!C6*4,"")</f>
        <v/>
      </c>
      <c r="D231" s="14" t="str">
        <f>IF(TDF_Freq="Annuel",Calc_TDF!C6*4,"")</f>
        <v/>
      </c>
      <c r="E231" s="93" t="str">
        <f>IF(TDF_Freq="Annuel",HBV_Y1_Treatment_Target,"")</f>
        <v/>
      </c>
      <c r="F231" s="14" t="str">
        <f>IF(TDF_Freq="Annuel",SUM(Calc_TDF!F6:F9),"")</f>
        <v/>
      </c>
      <c r="G231" s="14" t="str">
        <f>IF(TDF_Freq="Annuel",SUM(Calc_TDF!G6:G9),"")</f>
        <v/>
      </c>
      <c r="H231" s="14" t="str">
        <f>IF(TDF_Freq="Annuel",TDF_Supply_PerPW,"")</f>
        <v/>
      </c>
      <c r="I231" s="14" t="str">
        <f>IF(TDF_Freq="Annuel",Calc_TDF!I19,"")</f>
        <v/>
      </c>
      <c r="J231" s="14" t="str">
        <f>IF(TDF_Freq="Annuel",Calc_TDF!J19,"")</f>
        <v/>
      </c>
      <c r="K231" s="14" t="str">
        <f>IF(TDF_Freq="Annuel",Y1_TDF_Total,"")</f>
        <v/>
      </c>
      <c r="L231" s="93" t="str">
        <f>IF(TDF_Freq="Annuel",TDF_PackSize,"")</f>
        <v/>
      </c>
      <c r="M231" s="94" t="str">
        <f>IF(TDF_Freq="Annuel",IF(TDF_PackSize="","Enter pack size",CEILING(K231/L231,1)),"")</f>
        <v/>
      </c>
    </row>
    <row r="232" spans="1:13" x14ac:dyDescent="0.35">
      <c r="A232" s="93" t="str">
        <f>IF(TDF_Freq="Annuel","Année 2","")</f>
        <v/>
      </c>
      <c r="B232" s="94" t="str">
        <f>IF(TDF_Freq="Annuel",2,"")</f>
        <v/>
      </c>
      <c r="C232" s="14" t="str">
        <f>IF(TDF_Freq="Annuel",Calc_TDF!C10*4,"")</f>
        <v/>
      </c>
      <c r="D232" s="14" t="str">
        <f>IF(TDF_Freq="Annuel",Calc_TDF!D10*4,"")</f>
        <v/>
      </c>
      <c r="E232" s="93" t="str">
        <f>IF(TDF_Freq="Annuel",HBV_Y2_Treatment_Target,"")</f>
        <v/>
      </c>
      <c r="F232" s="14" t="str">
        <f>IF(TDF_Freq="Annuel",SUM(Calc_TDF!F10:F13),"")</f>
        <v/>
      </c>
      <c r="G232" s="14" t="str">
        <f>IF(TDF_Freq="Annuel",SUM(Calc_TDF!G10:G13),"")</f>
        <v/>
      </c>
      <c r="H232" s="14" t="str">
        <f>IF(TDF_Freq="Annuel",TDF_Supply_PerPW,"")</f>
        <v/>
      </c>
      <c r="I232" s="14" t="str">
        <f>IF(TDF_Freq="Annuel",Calc_TDF!I20,"")</f>
        <v/>
      </c>
      <c r="J232" s="14" t="str">
        <f>IF(TDF_Freq="Annuel",Calc_TDF!J20,"")</f>
        <v/>
      </c>
      <c r="K232" s="14" t="str">
        <f>IF(TDF_Freq="Annuel",Y2_TDF_Total,"")</f>
        <v/>
      </c>
      <c r="L232" s="93" t="str">
        <f>IF(TDF_Freq="Annuel",TDF_PackSize,"")</f>
        <v/>
      </c>
      <c r="M232" s="94" t="str">
        <f>IF(TDF_Freq="Annuel",IF(TDF_PackSize="","Enter pack size",CEILING(K232/L232,1)),"")</f>
        <v/>
      </c>
    </row>
    <row r="233" spans="1:13" x14ac:dyDescent="0.35">
      <c r="A233" s="93" t="str">
        <f>IF(TDF_Freq="Annuel","Année 3","")</f>
        <v/>
      </c>
      <c r="B233" s="94" t="str">
        <f>IF(TDF_Freq="Annuel",3,"")</f>
        <v/>
      </c>
      <c r="C233" s="14" t="str">
        <f>IF(TDF_Freq="Annuel",Calc_TDF!C14*4,"")</f>
        <v/>
      </c>
      <c r="D233" s="14" t="str">
        <f>IF(TDF_Freq="Annuel",Calc_TDF!D14*4,"")</f>
        <v/>
      </c>
      <c r="E233" s="93" t="str">
        <f>IF(TDF_Freq="Annuel",HBV_Y3_Treatment_Target,"")</f>
        <v/>
      </c>
      <c r="F233" s="14" t="str">
        <f>IF(TDF_Freq="Annuel",SUM(Calc_TDF!F14:F17),"")</f>
        <v/>
      </c>
      <c r="G233" s="14" t="str">
        <f>IF(TDF_Freq="Annuel",SUM(Calc_TDF!G14:G17),"")</f>
        <v/>
      </c>
      <c r="H233" s="14" t="str">
        <f>IF(TDF_Freq="Annuel",TDF_Supply_PerPW,"")</f>
        <v/>
      </c>
      <c r="I233" s="14" t="str">
        <f>IF(TDF_Freq="Annuel",Calc_TDF!I21,"")</f>
        <v/>
      </c>
      <c r="J233" s="14" t="str">
        <f>IF(TDF_Freq="Annuel",Calc_TDF!J21,"")</f>
        <v/>
      </c>
      <c r="K233" s="14" t="str">
        <f>IF(TDF_Freq="Annuel",Y3_TDF_Total,"")</f>
        <v/>
      </c>
      <c r="L233" s="93" t="str">
        <f>IF(TDF_Freq="Annuel",TDF_PackSize,"")</f>
        <v/>
      </c>
      <c r="M233" s="94" t="str">
        <f>IF(TDF_Freq="Annuel",IF(TDF_PackSize="","Enter pack size",CEILING(K233/L233,1)),"")</f>
        <v/>
      </c>
    </row>
    <row r="234" spans="1:13" x14ac:dyDescent="0.35">
      <c r="A234" s="97"/>
      <c r="B234" s="98"/>
    </row>
    <row r="235" spans="1:13" s="96" customFormat="1" ht="16" x14ac:dyDescent="0.4">
      <c r="A235" s="86" t="str">
        <f>IF(TDF_Freq="Annuel","TOTAL SUR 3 ANS","")</f>
        <v/>
      </c>
      <c r="B235" s="91"/>
      <c r="C235" s="91"/>
      <c r="D235" s="91"/>
      <c r="E235" s="91"/>
      <c r="F235" s="91"/>
      <c r="G235" s="91"/>
      <c r="H235" s="91"/>
      <c r="I235" s="91"/>
      <c r="J235" s="91"/>
      <c r="K235" s="87" t="str">
        <f>IF(TDF_Freq="Annuel",SUM(K231:K233),"")</f>
        <v/>
      </c>
      <c r="L235" s="91"/>
      <c r="M235" s="87" t="str">
        <f>IF(TDF_Freq="Annuel",SUM(M231:M233),"")</f>
        <v/>
      </c>
    </row>
    <row r="236" spans="1:13" x14ac:dyDescent="0.35">
      <c r="A236" s="97"/>
      <c r="B236" s="98"/>
    </row>
    <row r="237" spans="1:13" ht="16" x14ac:dyDescent="0.4">
      <c r="A237" s="163" t="s">
        <v>549</v>
      </c>
      <c r="B237" s="92"/>
      <c r="C237" s="92"/>
      <c r="D237" s="92"/>
      <c r="E237" s="92"/>
      <c r="F237" s="92"/>
      <c r="G237" s="92"/>
      <c r="H237" s="92"/>
      <c r="I237" s="92"/>
      <c r="J237" s="92"/>
      <c r="K237" s="80"/>
      <c r="L237" s="92"/>
      <c r="M237" s="80"/>
    </row>
    <row r="238" spans="1:13" ht="58" x14ac:dyDescent="0.35">
      <c r="A238" s="58" t="s">
        <v>537</v>
      </c>
      <c r="B238" s="58" t="s">
        <v>538</v>
      </c>
      <c r="C238" s="57" t="s">
        <v>554</v>
      </c>
      <c r="D238" s="57" t="s">
        <v>555</v>
      </c>
      <c r="E238" s="57" t="s">
        <v>556</v>
      </c>
      <c r="F238" s="57" t="s">
        <v>560</v>
      </c>
      <c r="G238" s="57" t="s">
        <v>561</v>
      </c>
      <c r="H238" s="57" t="s">
        <v>562</v>
      </c>
      <c r="I238" s="57" t="s">
        <v>543</v>
      </c>
      <c r="J238" s="57" t="s">
        <v>544</v>
      </c>
      <c r="K238" s="57" t="s">
        <v>546</v>
      </c>
      <c r="L238" s="57" t="s">
        <v>547</v>
      </c>
      <c r="M238" s="57" t="s">
        <v>548</v>
      </c>
    </row>
    <row r="239" spans="1:13" x14ac:dyDescent="0.35">
      <c r="A239" s="93" t="str">
        <f>IF(TDF_Freq="semestriel","S1","")</f>
        <v/>
      </c>
      <c r="B239" s="13" t="str">
        <f>IF(TDF_Freq="semestriel",1,"")</f>
        <v/>
      </c>
      <c r="C239" s="14" t="str">
        <f>IF(TDF_Freq="semestriel",SUM(Calc_TDF!C6:C7),"")</f>
        <v/>
      </c>
      <c r="D239" s="14" t="str">
        <f>IF(TDF_Freq="semestriel",SUM(Calc_TDF!D6:D7),"")</f>
        <v/>
      </c>
      <c r="E239" s="93" t="str">
        <f>IF(TDF_Freq="semestriel",HBV_Y1_Treatment_Target,"")</f>
        <v/>
      </c>
      <c r="F239" s="14" t="str">
        <f>IF(TDF_Freq="semestriel",SUM(Calc_TDF!F6:F7),"")</f>
        <v/>
      </c>
      <c r="G239" s="14" t="str">
        <f>IF(TDF_Freq="semestriel",SUM(Calc_TDF!G6:G7),"")</f>
        <v/>
      </c>
      <c r="H239" s="14" t="str">
        <f t="shared" ref="H239:H244" si="11">IF(TDF_Freq="semestriel",TDF_Supply_PerPW,"")</f>
        <v/>
      </c>
      <c r="I239" s="14" t="str">
        <f>IF(TDF_Freq="semestriel",SUM(Calc_TDF!I6:I7),"")</f>
        <v/>
      </c>
      <c r="J239" s="14" t="str">
        <f>IF(TDF_Freq="semestriel",SUM(Calc_TDF!J6:J7),"")</f>
        <v/>
      </c>
      <c r="K239" s="14" t="str">
        <f>IF(TDF_Freq="semestriel",SUM(Calc_TDF!K6:K7),"")</f>
        <v/>
      </c>
      <c r="L239" s="13" t="str">
        <f t="shared" ref="L239:L244" si="12">IF(TDF_Freq="semestriel",TDF_PackSize,"")</f>
        <v/>
      </c>
      <c r="M239" s="94" t="str">
        <f t="shared" ref="M239:M244" si="13">IF(TDF_Freq="semestriel",IF(TDF_PackSize="","Enter pack size",CEILING(K239/L239,1)),"")</f>
        <v/>
      </c>
    </row>
    <row r="240" spans="1:13" x14ac:dyDescent="0.35">
      <c r="A240" s="93" t="str">
        <f>IF(TDF_Freq="semestriel","S2","")</f>
        <v/>
      </c>
      <c r="B240" s="13" t="str">
        <f>IF(TDF_Freq="semestriel",1,"")</f>
        <v/>
      </c>
      <c r="C240" s="14" t="str">
        <f>IF(TDF_Freq="semestriel",SUM(Calc_TDF!C8:C9),"")</f>
        <v/>
      </c>
      <c r="D240" s="14" t="str">
        <f>IF(TDF_Freq="semestriel",SUM(Calc_TDF!D8:D9),"")</f>
        <v/>
      </c>
      <c r="E240" s="93" t="str">
        <f>IF(TDF_Freq="semestriel",HBV_Y1_Treatment_Target,"")</f>
        <v/>
      </c>
      <c r="F240" s="14" t="str">
        <f>IF(TDF_Freq="semestriel",SUM(Calc_TDF!F8:F9),"")</f>
        <v/>
      </c>
      <c r="G240" s="14" t="str">
        <f>IF(TDF_Freq="semestriel",SUM(Calc_TDF!G8:G9),"")</f>
        <v/>
      </c>
      <c r="H240" s="14" t="str">
        <f t="shared" si="11"/>
        <v/>
      </c>
      <c r="I240" s="14" t="str">
        <f>IF(TDF_Freq="semestriel",SUM(Calc_TDF!I8:I9),"")</f>
        <v/>
      </c>
      <c r="J240" s="14" t="str">
        <f>IF(TDF_Freq="semestriel",SUM(Calc_TDF!J8:J9),"")</f>
        <v/>
      </c>
      <c r="K240" s="14" t="str">
        <f>IF(TDF_Freq="semestriel",SUM(Calc_TDF!K8:K9),"")</f>
        <v/>
      </c>
      <c r="L240" s="13" t="str">
        <f t="shared" si="12"/>
        <v/>
      </c>
      <c r="M240" s="94" t="str">
        <f t="shared" si="13"/>
        <v/>
      </c>
    </row>
    <row r="241" spans="1:13" x14ac:dyDescent="0.35">
      <c r="A241" s="93" t="str">
        <f>IF(TDF_Freq="semestriel","S1","")</f>
        <v/>
      </c>
      <c r="B241" s="13" t="str">
        <f>IF(TDF_Freq="semestriel",2,"")</f>
        <v/>
      </c>
      <c r="C241" s="14" t="str">
        <f>IF(TDF_Freq="semestriel",SUM(Calc_TDF!C10:C11),"")</f>
        <v/>
      </c>
      <c r="D241" s="14" t="str">
        <f>IF(TDF_Freq="semestriel",SUM(Calc_TDF!D10:D11),"")</f>
        <v/>
      </c>
      <c r="E241" s="93" t="str">
        <f>IF(TDF_Freq="semestriel",HBV_Y2_Treatment_Target,"")</f>
        <v/>
      </c>
      <c r="F241" s="14" t="str">
        <f>IF(TDF_Freq="semestriel",SUM(Calc_TDF!F10:F11),"")</f>
        <v/>
      </c>
      <c r="G241" s="14" t="str">
        <f>IF(TDF_Freq="semestriel",SUM(Calc_TDF!G10:G11),"")</f>
        <v/>
      </c>
      <c r="H241" s="14" t="str">
        <f t="shared" si="11"/>
        <v/>
      </c>
      <c r="I241" s="14" t="str">
        <f>IF(TDF_Freq="semestriel",SUM(Calc_TDF!I10:I11),"")</f>
        <v/>
      </c>
      <c r="J241" s="14" t="str">
        <f>IF(TDF_Freq="semestriel",SUM(Calc_TDF!J10:J11),"")</f>
        <v/>
      </c>
      <c r="K241" s="14" t="str">
        <f>IF(TDF_Freq="semestriel",SUM(Calc_TDF!K10:K11),"")</f>
        <v/>
      </c>
      <c r="L241" s="13" t="str">
        <f t="shared" si="12"/>
        <v/>
      </c>
      <c r="M241" s="94" t="str">
        <f t="shared" si="13"/>
        <v/>
      </c>
    </row>
    <row r="242" spans="1:13" x14ac:dyDescent="0.35">
      <c r="A242" s="93" t="str">
        <f>IF(TDF_Freq="semestriel","S2","")</f>
        <v/>
      </c>
      <c r="B242" s="13" t="str">
        <f>IF(TDF_Freq="semestriel",2,"")</f>
        <v/>
      </c>
      <c r="C242" s="14" t="str">
        <f>IF(TDF_Freq="semestriel",SUM(Calc_TDF!C12:C13),"")</f>
        <v/>
      </c>
      <c r="D242" s="14" t="str">
        <f>IF(TDF_Freq="semestriel",SUM(Calc_TDF!D12:D13),"")</f>
        <v/>
      </c>
      <c r="E242" s="93" t="str">
        <f>IF(TDF_Freq="semestriel",HBV_Y2_Treatment_Target,"")</f>
        <v/>
      </c>
      <c r="F242" s="14" t="str">
        <f>IF(TDF_Freq="semestriel",SUM(Calc_TDF!F12:F13),"")</f>
        <v/>
      </c>
      <c r="G242" s="14" t="str">
        <f>IF(TDF_Freq="semestriel",SUM(Calc_TDF!G12:G13),"")</f>
        <v/>
      </c>
      <c r="H242" s="14" t="str">
        <f t="shared" si="11"/>
        <v/>
      </c>
      <c r="I242" s="14" t="str">
        <f>IF(TDF_Freq="semestriel",SUM(Calc_TDF!I12:I13),"")</f>
        <v/>
      </c>
      <c r="J242" s="14" t="str">
        <f>IF(TDF_Freq="semestriel",SUM(Calc_TDF!J12:J13),"")</f>
        <v/>
      </c>
      <c r="K242" s="14" t="str">
        <f>IF(TDF_Freq="semestriel",SUM(Calc_TDF!K12:K13),"")</f>
        <v/>
      </c>
      <c r="L242" s="13" t="str">
        <f t="shared" si="12"/>
        <v/>
      </c>
      <c r="M242" s="94" t="str">
        <f t="shared" si="13"/>
        <v/>
      </c>
    </row>
    <row r="243" spans="1:13" x14ac:dyDescent="0.35">
      <c r="A243" s="93" t="str">
        <f>IF(TDF_Freq="semestriel","S1","")</f>
        <v/>
      </c>
      <c r="B243" s="13" t="str">
        <f>IF(TDF_Freq="semestriel",3,"")</f>
        <v/>
      </c>
      <c r="C243" s="14" t="str">
        <f>IF(TDF_Freq="semestriel",SUM(Calc_TDF!C14:C15),"")</f>
        <v/>
      </c>
      <c r="D243" s="14" t="str">
        <f>IF(TDF_Freq="semestriel",SUM(Calc_TDF!D14:D15),"")</f>
        <v/>
      </c>
      <c r="E243" s="93" t="str">
        <f>IF(TDF_Freq="semestriel",HBV_Y3_Treatment_Target,"")</f>
        <v/>
      </c>
      <c r="F243" s="14" t="str">
        <f>IF(TDF_Freq="semestriel",SUM(Calc_TDF!F14:F15),"")</f>
        <v/>
      </c>
      <c r="G243" s="14" t="str">
        <f>IF(TDF_Freq="semestriel",SUM(Calc_TDF!G14:G15),"")</f>
        <v/>
      </c>
      <c r="H243" s="14" t="str">
        <f t="shared" si="11"/>
        <v/>
      </c>
      <c r="I243" s="14" t="str">
        <f>IF(TDF_Freq="semestriel",SUM(Calc_TDF!I14:I15),"")</f>
        <v/>
      </c>
      <c r="J243" s="14" t="str">
        <f>IF(TDF_Freq="semestriel",SUM(Calc_TDF!J14:J15),"")</f>
        <v/>
      </c>
      <c r="K243" s="14" t="str">
        <f>IF(TDF_Freq="semestriel",SUM(Calc_TDF!K14:K15),"")</f>
        <v/>
      </c>
      <c r="L243" s="13" t="str">
        <f t="shared" si="12"/>
        <v/>
      </c>
      <c r="M243" s="94" t="str">
        <f t="shared" si="13"/>
        <v/>
      </c>
    </row>
    <row r="244" spans="1:13" x14ac:dyDescent="0.35">
      <c r="A244" s="93" t="str">
        <f>IF(TDF_Freq="semestriel","S2","")</f>
        <v/>
      </c>
      <c r="B244" s="13" t="str">
        <f>IF(TDF_Freq="semestriel",3,"")</f>
        <v/>
      </c>
      <c r="C244" s="14" t="str">
        <f>IF(TDF_Freq="semestriel",SUM(Calc_TDF!C16:C17),"")</f>
        <v/>
      </c>
      <c r="D244" s="14" t="str">
        <f>IF(TDF_Freq="semestriel",SUM(Calc_TDF!D16:D17),"")</f>
        <v/>
      </c>
      <c r="E244" s="93" t="str">
        <f>IF(TDF_Freq="semestriel",HBV_Y3_Treatment_Target,"")</f>
        <v/>
      </c>
      <c r="F244" s="14" t="str">
        <f>IF(TDF_Freq="semestriel",SUM(Calc_TDF!F16:F17),"")</f>
        <v/>
      </c>
      <c r="G244" s="14" t="str">
        <f>IF(TDF_Freq="semestriel",SUM(Calc_TDF!G16:G17),"")</f>
        <v/>
      </c>
      <c r="H244" s="14" t="str">
        <f t="shared" si="11"/>
        <v/>
      </c>
      <c r="I244" s="14" t="str">
        <f>IF(TDF_Freq="semestriel",SUM(Calc_TDF!I16:I17),"")</f>
        <v/>
      </c>
      <c r="J244" s="14" t="str">
        <f>IF(TDF_Freq="semestriel",SUM(Calc_TDF!J16:J17),"")</f>
        <v/>
      </c>
      <c r="K244" s="14" t="str">
        <f>IF(TDF_Freq="semestriel",SUM(Calc_TDF!K16:K17),"")</f>
        <v/>
      </c>
      <c r="L244" s="13" t="str">
        <f t="shared" si="12"/>
        <v/>
      </c>
      <c r="M244" s="94" t="str">
        <f t="shared" si="13"/>
        <v/>
      </c>
    </row>
    <row r="245" spans="1:13" x14ac:dyDescent="0.35">
      <c r="A245" s="97"/>
      <c r="B245" s="98"/>
    </row>
    <row r="246" spans="1:13" x14ac:dyDescent="0.35">
      <c r="A246" s="24" t="str">
        <f>IF(TDF_Freq="semestriel","Total Année 1","")</f>
        <v/>
      </c>
      <c r="B246" s="105"/>
      <c r="C246" s="105"/>
      <c r="D246" s="105"/>
      <c r="E246" s="105"/>
      <c r="F246" s="106"/>
      <c r="G246" s="106"/>
      <c r="H246" s="106"/>
      <c r="I246" s="107"/>
      <c r="J246" s="107"/>
      <c r="K246" s="107" t="str">
        <f>IF(TDF_Freq="semestriel",K239+K240,"")</f>
        <v/>
      </c>
      <c r="L246" s="107"/>
      <c r="M246" s="107" t="str">
        <f>IF(TDF_Freq="semestriel",M239+M240,"")</f>
        <v/>
      </c>
    </row>
    <row r="247" spans="1:13" x14ac:dyDescent="0.35">
      <c r="A247" s="24" t="str">
        <f>IF(TDF_Freq="semestriel","Total Année 2","")</f>
        <v/>
      </c>
      <c r="B247" s="105"/>
      <c r="C247" s="105"/>
      <c r="D247" s="105"/>
      <c r="E247" s="105"/>
      <c r="F247" s="106"/>
      <c r="G247" s="106"/>
      <c r="H247" s="106"/>
      <c r="I247" s="107"/>
      <c r="J247" s="107"/>
      <c r="K247" s="107" t="str">
        <f>IF(TDF_Freq="semestriel",K241+K242,"")</f>
        <v/>
      </c>
      <c r="L247" s="107"/>
      <c r="M247" s="107" t="str">
        <f>IF(TDF_Freq="semestriel",M241+M242,"")</f>
        <v/>
      </c>
    </row>
    <row r="248" spans="1:13" x14ac:dyDescent="0.35">
      <c r="A248" s="24" t="str">
        <f>IF(TDF_Freq="semestriel","Total Année 3","")</f>
        <v/>
      </c>
      <c r="B248" s="105"/>
      <c r="C248" s="105"/>
      <c r="D248" s="105"/>
      <c r="E248" s="105"/>
      <c r="F248" s="106"/>
      <c r="G248" s="106"/>
      <c r="H248" s="106"/>
      <c r="I248" s="107"/>
      <c r="J248" s="107"/>
      <c r="K248" s="107" t="str">
        <f>IF(TDF_Freq="semestriel",K243+K244,"")</f>
        <v/>
      </c>
      <c r="L248" s="107"/>
      <c r="M248" s="107" t="str">
        <f>IF(TDF_Freq="semestriel",M243+M244,"")</f>
        <v/>
      </c>
    </row>
    <row r="249" spans="1:13" x14ac:dyDescent="0.35">
      <c r="A249" s="9"/>
      <c r="B249" s="9"/>
      <c r="C249" s="9"/>
      <c r="D249" s="9"/>
      <c r="E249" s="9"/>
      <c r="F249" s="9"/>
      <c r="G249" s="9"/>
      <c r="H249" s="9"/>
      <c r="I249" s="9"/>
      <c r="J249" s="9"/>
      <c r="K249" s="95"/>
      <c r="L249" s="9"/>
      <c r="M249" s="95"/>
    </row>
    <row r="250" spans="1:13" s="96" customFormat="1" ht="16" x14ac:dyDescent="0.4">
      <c r="A250" s="86" t="str">
        <f>IF(TDF_Freq="semestriel","TOTAL SUR 3 ANS","")</f>
        <v/>
      </c>
      <c r="B250" s="91"/>
      <c r="C250" s="91"/>
      <c r="D250" s="91"/>
      <c r="E250" s="91"/>
      <c r="F250" s="91"/>
      <c r="G250" s="91"/>
      <c r="H250" s="91"/>
      <c r="I250" s="91"/>
      <c r="J250" s="91"/>
      <c r="K250" s="87" t="str">
        <f>IF(TDF_Freq="semestriel",SUM(K246:K248),"")</f>
        <v/>
      </c>
      <c r="L250" s="91"/>
      <c r="M250" s="87" t="str">
        <f>IF(TDF_Freq="semestriel",SUM(M246:M248),"")</f>
        <v/>
      </c>
    </row>
    <row r="251" spans="1:13" x14ac:dyDescent="0.35">
      <c r="A251" s="97"/>
      <c r="B251" s="98"/>
    </row>
    <row r="252" spans="1:13" x14ac:dyDescent="0.35">
      <c r="A252" s="163" t="s">
        <v>550</v>
      </c>
    </row>
    <row r="253" spans="1:13" ht="58" x14ac:dyDescent="0.35">
      <c r="A253" s="58" t="s">
        <v>537</v>
      </c>
      <c r="B253" s="58" t="s">
        <v>538</v>
      </c>
      <c r="C253" s="57" t="s">
        <v>554</v>
      </c>
      <c r="D253" s="57" t="s">
        <v>555</v>
      </c>
      <c r="E253" s="57" t="s">
        <v>556</v>
      </c>
      <c r="F253" s="57" t="s">
        <v>560</v>
      </c>
      <c r="G253" s="57" t="s">
        <v>561</v>
      </c>
      <c r="H253" s="57" t="s">
        <v>562</v>
      </c>
      <c r="I253" s="57" t="s">
        <v>543</v>
      </c>
      <c r="J253" s="57" t="s">
        <v>544</v>
      </c>
      <c r="K253" s="57" t="s">
        <v>546</v>
      </c>
      <c r="L253" s="57" t="s">
        <v>547</v>
      </c>
      <c r="M253" s="57" t="s">
        <v>548</v>
      </c>
    </row>
    <row r="254" spans="1:13" x14ac:dyDescent="0.35">
      <c r="A254" s="93" t="str">
        <f>IF(TDF_Freq="trimestriel","T1","")</f>
        <v/>
      </c>
      <c r="B254" s="94" t="str">
        <f>IF(TDF_Freq="trimestriel",1,"")</f>
        <v/>
      </c>
      <c r="C254" s="14" t="str">
        <f>IF(TDF_Freq="trimestriel",Calc_TDF!C6,"")</f>
        <v/>
      </c>
      <c r="D254" s="14" t="str">
        <f>IF(TDF_Freq="trimestriel",Calc_TDF!D6,"")</f>
        <v/>
      </c>
      <c r="E254" s="14" t="str">
        <f>IF(TDF_Freq="trimestriel",Calc_TDF!E6,"")</f>
        <v/>
      </c>
      <c r="F254" s="14" t="str">
        <f>IF(TDF_Freq="trimestriel",Calc_TDF!F6,"")</f>
        <v/>
      </c>
      <c r="G254" s="14" t="str">
        <f>IF(TDF_Freq="trimestriel",Calc_TDF!G6,"")</f>
        <v/>
      </c>
      <c r="H254" s="14" t="str">
        <f>IF(TDF_Freq="trimestriel",Calc_TDF!H6,"")</f>
        <v/>
      </c>
      <c r="I254" s="14" t="str">
        <f>IF(TDF_Freq="trimestriel",Calc_TDF!I6,"")</f>
        <v/>
      </c>
      <c r="J254" s="14" t="str">
        <f>IF(TDF_Freq="trimestriel",Calc_TDF!J6,"")</f>
        <v/>
      </c>
      <c r="K254" s="14" t="str">
        <f>IF(TDF_Freq="trimestriel",Calc_TDF!K6,"")</f>
        <v/>
      </c>
      <c r="L254" s="13" t="str">
        <f t="shared" ref="L254:L265" si="14">IF(TDF_Freq="trimestriel",TDF_PackSize,"")</f>
        <v/>
      </c>
      <c r="M254" s="94" t="str">
        <f t="shared" ref="M254:M265" si="15">IF(TDF_Freq="trimestriel",IF(TDF_PackSize="","Enter pack size",CEILING(K254/L254,1)),"")</f>
        <v/>
      </c>
    </row>
    <row r="255" spans="1:13" x14ac:dyDescent="0.35">
      <c r="A255" s="93" t="str">
        <f>IF(TDF_Freq="trimestriel","T2","")</f>
        <v/>
      </c>
      <c r="B255" s="94" t="str">
        <f>IF(TDF_Freq="trimestriel",1,"")</f>
        <v/>
      </c>
      <c r="C255" s="14" t="str">
        <f>IF(TDF_Freq="trimestriel",Calc_TDF!C7,"")</f>
        <v/>
      </c>
      <c r="D255" s="14" t="str">
        <f>IF(TDF_Freq="trimestriel",Calc_TDF!D7,"")</f>
        <v/>
      </c>
      <c r="E255" s="14" t="str">
        <f>IF(TDF_Freq="trimestriel",Calc_TDF!E7,"")</f>
        <v/>
      </c>
      <c r="F255" s="14" t="str">
        <f>IF(TDF_Freq="trimestriel",Calc_TDF!F7,"")</f>
        <v/>
      </c>
      <c r="G255" s="14" t="str">
        <f>IF(TDF_Freq="trimestriel",Calc_TDF!G7,"")</f>
        <v/>
      </c>
      <c r="H255" s="14" t="str">
        <f>IF(TDF_Freq="trimestriel",Calc_TDF!H7,"")</f>
        <v/>
      </c>
      <c r="I255" s="14" t="str">
        <f>IF(TDF_Freq="trimestriel",Calc_TDF!I7,"")</f>
        <v/>
      </c>
      <c r="J255" s="14" t="str">
        <f>IF(TDF_Freq="trimestriel",Calc_TDF!J7,"")</f>
        <v/>
      </c>
      <c r="K255" s="14" t="str">
        <f>IF(TDF_Freq="trimestriel",Calc_TDF!K7,"")</f>
        <v/>
      </c>
      <c r="L255" s="13" t="str">
        <f t="shared" si="14"/>
        <v/>
      </c>
      <c r="M255" s="94" t="str">
        <f t="shared" si="15"/>
        <v/>
      </c>
    </row>
    <row r="256" spans="1:13" x14ac:dyDescent="0.35">
      <c r="A256" s="93" t="str">
        <f>IF(TDF_Freq="trimestriel","T3","")</f>
        <v/>
      </c>
      <c r="B256" s="94" t="str">
        <f>IF(TDF_Freq="trimestriel",1,"")</f>
        <v/>
      </c>
      <c r="C256" s="14" t="str">
        <f>IF(TDF_Freq="trimestriel",Calc_TDF!C8,"")</f>
        <v/>
      </c>
      <c r="D256" s="14" t="str">
        <f>IF(TDF_Freq="trimestriel",Calc_TDF!D8,"")</f>
        <v/>
      </c>
      <c r="E256" s="14" t="str">
        <f>IF(TDF_Freq="trimestriel",Calc_TDF!E8,"")</f>
        <v/>
      </c>
      <c r="F256" s="14" t="str">
        <f>IF(TDF_Freq="trimestriel",Calc_TDF!F8,"")</f>
        <v/>
      </c>
      <c r="G256" s="14" t="str">
        <f>IF(TDF_Freq="trimestriel",Calc_TDF!G8,"")</f>
        <v/>
      </c>
      <c r="H256" s="14" t="str">
        <f>IF(TDF_Freq="trimestriel",Calc_TDF!H8,"")</f>
        <v/>
      </c>
      <c r="I256" s="14" t="str">
        <f>IF(TDF_Freq="trimestriel",Calc_TDF!I8,"")</f>
        <v/>
      </c>
      <c r="J256" s="14" t="str">
        <f>IF(TDF_Freq="trimestriel",Calc_TDF!J8,"")</f>
        <v/>
      </c>
      <c r="K256" s="14" t="str">
        <f>IF(TDF_Freq="trimestriel",Calc_TDF!K8,"")</f>
        <v/>
      </c>
      <c r="L256" s="13" t="str">
        <f t="shared" si="14"/>
        <v/>
      </c>
      <c r="M256" s="94" t="str">
        <f t="shared" si="15"/>
        <v/>
      </c>
    </row>
    <row r="257" spans="1:13" x14ac:dyDescent="0.35">
      <c r="A257" s="93" t="str">
        <f>IF(TDF_Freq="trimestriel","T4","")</f>
        <v/>
      </c>
      <c r="B257" s="94" t="str">
        <f>IF(TDF_Freq="trimestriel",1,"")</f>
        <v/>
      </c>
      <c r="C257" s="14" t="str">
        <f>IF(TDF_Freq="trimestriel",Calc_TDF!C9,"")</f>
        <v/>
      </c>
      <c r="D257" s="14" t="str">
        <f>IF(TDF_Freq="trimestriel",Calc_TDF!D9,"")</f>
        <v/>
      </c>
      <c r="E257" s="14" t="str">
        <f>IF(TDF_Freq="trimestriel",Calc_TDF!E9,"")</f>
        <v/>
      </c>
      <c r="F257" s="14" t="str">
        <f>IF(TDF_Freq="trimestriel",Calc_TDF!F9,"")</f>
        <v/>
      </c>
      <c r="G257" s="14" t="str">
        <f>IF(TDF_Freq="trimestriel",Calc_TDF!G9,"")</f>
        <v/>
      </c>
      <c r="H257" s="14" t="str">
        <f>IF(TDF_Freq="trimestriel",Calc_TDF!H9,"")</f>
        <v/>
      </c>
      <c r="I257" s="14" t="str">
        <f>IF(TDF_Freq="trimestriel",Calc_TDF!I9,"")</f>
        <v/>
      </c>
      <c r="J257" s="14" t="str">
        <f>IF(TDF_Freq="trimestriel",Calc_TDF!J9,"")</f>
        <v/>
      </c>
      <c r="K257" s="14" t="str">
        <f>IF(TDF_Freq="trimestriel",Calc_TDF!K9,"")</f>
        <v/>
      </c>
      <c r="L257" s="13" t="str">
        <f t="shared" si="14"/>
        <v/>
      </c>
      <c r="M257" s="94" t="str">
        <f t="shared" si="15"/>
        <v/>
      </c>
    </row>
    <row r="258" spans="1:13" x14ac:dyDescent="0.35">
      <c r="A258" s="93" t="str">
        <f>IF(TDF_Freq="trimestriel","T1","")</f>
        <v/>
      </c>
      <c r="B258" s="94" t="str">
        <f>IF(TDF_Freq="trimestriel",2,"")</f>
        <v/>
      </c>
      <c r="C258" s="14" t="str">
        <f>IF(TDF_Freq="trimestriel",Calc_TDF!C10,"")</f>
        <v/>
      </c>
      <c r="D258" s="14" t="str">
        <f>IF(TDF_Freq="trimestriel",Calc_TDF!D10,"")</f>
        <v/>
      </c>
      <c r="E258" s="14" t="str">
        <f>IF(TDF_Freq="trimestriel",Calc_TDF!E10,"")</f>
        <v/>
      </c>
      <c r="F258" s="14" t="str">
        <f>IF(TDF_Freq="trimestriel",Calc_TDF!F10,"")</f>
        <v/>
      </c>
      <c r="G258" s="14" t="str">
        <f>IF(TDF_Freq="trimestriel",Calc_TDF!G10,"")</f>
        <v/>
      </c>
      <c r="H258" s="14" t="str">
        <f>IF(TDF_Freq="trimestriel",Calc_TDF!S10,"")</f>
        <v/>
      </c>
      <c r="I258" s="14" t="str">
        <f>IF(TDF_Freq="trimestriel",Calc_TDF!I10,"")</f>
        <v/>
      </c>
      <c r="J258" s="14" t="str">
        <f>IF(TDF_Freq="trimestriel",Calc_TDF!J10,"")</f>
        <v/>
      </c>
      <c r="K258" s="14" t="str">
        <f>IF(TDF_Freq="trimestriel",Calc_TDF!K10,"")</f>
        <v/>
      </c>
      <c r="L258" s="13" t="str">
        <f t="shared" si="14"/>
        <v/>
      </c>
      <c r="M258" s="94" t="str">
        <f t="shared" si="15"/>
        <v/>
      </c>
    </row>
    <row r="259" spans="1:13" x14ac:dyDescent="0.35">
      <c r="A259" s="93" t="str">
        <f>IF(TDF_Freq="trimestriel","T2","")</f>
        <v/>
      </c>
      <c r="B259" s="94" t="str">
        <f>IF(TDF_Freq="trimestriel",2,"")</f>
        <v/>
      </c>
      <c r="C259" s="14" t="str">
        <f>IF(TDF_Freq="trimestriel",Calc_TDF!C11,"")</f>
        <v/>
      </c>
      <c r="D259" s="14" t="str">
        <f>IF(TDF_Freq="trimestriel",Calc_TDF!D11,"")</f>
        <v/>
      </c>
      <c r="E259" s="14" t="str">
        <f>IF(TDF_Freq="trimestriel",Calc_TDF!E11,"")</f>
        <v/>
      </c>
      <c r="F259" s="14" t="str">
        <f>IF(TDF_Freq="trimestriel",Calc_TDF!F11,"")</f>
        <v/>
      </c>
      <c r="G259" s="14" t="str">
        <f>IF(TDF_Freq="trimestriel",Calc_TDF!G11,"")</f>
        <v/>
      </c>
      <c r="H259" s="14" t="str">
        <f>IF(TDF_Freq="trimestriel",Calc_TDF!S11,"")</f>
        <v/>
      </c>
      <c r="I259" s="14" t="str">
        <f>IF(TDF_Freq="trimestriel",Calc_TDF!I11,"")</f>
        <v/>
      </c>
      <c r="J259" s="14" t="str">
        <f>IF(TDF_Freq="trimestriel",Calc_TDF!J11,"")</f>
        <v/>
      </c>
      <c r="K259" s="14" t="str">
        <f>IF(TDF_Freq="trimestriel",Calc_TDF!K11,"")</f>
        <v/>
      </c>
      <c r="L259" s="13" t="str">
        <f t="shared" si="14"/>
        <v/>
      </c>
      <c r="M259" s="94" t="str">
        <f t="shared" si="15"/>
        <v/>
      </c>
    </row>
    <row r="260" spans="1:13" x14ac:dyDescent="0.35">
      <c r="A260" s="93" t="str">
        <f>IF(TDF_Freq="trimestriel","T3","")</f>
        <v/>
      </c>
      <c r="B260" s="94" t="str">
        <f>IF(TDF_Freq="trimestriel",2,"")</f>
        <v/>
      </c>
      <c r="C260" s="14" t="str">
        <f>IF(TDF_Freq="trimestriel",Calc_TDF!C12,"")</f>
        <v/>
      </c>
      <c r="D260" s="14" t="str">
        <f>IF(TDF_Freq="trimestriel",Calc_TDF!D12,"")</f>
        <v/>
      </c>
      <c r="E260" s="14" t="str">
        <f>IF(TDF_Freq="trimestriel",Calc_TDF!E12,"")</f>
        <v/>
      </c>
      <c r="F260" s="14" t="str">
        <f>IF(TDF_Freq="trimestriel",Calc_TDF!F12,"")</f>
        <v/>
      </c>
      <c r="G260" s="14" t="str">
        <f>IF(TDF_Freq="trimestriel",Calc_TDF!G12,"")</f>
        <v/>
      </c>
      <c r="H260" s="14" t="str">
        <f>IF(TDF_Freq="trimestriel",Calc_TDF!S12,"")</f>
        <v/>
      </c>
      <c r="I260" s="14" t="str">
        <f>IF(TDF_Freq="trimestriel",Calc_TDF!I12,"")</f>
        <v/>
      </c>
      <c r="J260" s="14" t="str">
        <f>IF(TDF_Freq="trimestriel",Calc_TDF!J12,"")</f>
        <v/>
      </c>
      <c r="K260" s="14" t="str">
        <f>IF(TDF_Freq="trimestriel",Calc_TDF!K12,"")</f>
        <v/>
      </c>
      <c r="L260" s="13" t="str">
        <f t="shared" si="14"/>
        <v/>
      </c>
      <c r="M260" s="94" t="str">
        <f t="shared" si="15"/>
        <v/>
      </c>
    </row>
    <row r="261" spans="1:13" x14ac:dyDescent="0.35">
      <c r="A261" s="93" t="str">
        <f>IF(TDF_Freq="trimestriel","T4","")</f>
        <v/>
      </c>
      <c r="B261" s="94" t="str">
        <f>IF(TDF_Freq="trimestriel",2,"")</f>
        <v/>
      </c>
      <c r="C261" s="14" t="str">
        <f>IF(TDF_Freq="trimestriel",Calc_TDF!C13,"")</f>
        <v/>
      </c>
      <c r="D261" s="14" t="str">
        <f>IF(TDF_Freq="trimestriel",Calc_TDF!D13,"")</f>
        <v/>
      </c>
      <c r="E261" s="14" t="str">
        <f>IF(TDF_Freq="trimestriel",Calc_TDF!E13,"")</f>
        <v/>
      </c>
      <c r="F261" s="14" t="str">
        <f>IF(TDF_Freq="trimestriel",Calc_TDF!F13,"")</f>
        <v/>
      </c>
      <c r="G261" s="14" t="str">
        <f>IF(TDF_Freq="trimestriel",Calc_TDF!G13,"")</f>
        <v/>
      </c>
      <c r="H261" s="14" t="str">
        <f>IF(TDF_Freq="trimestriel",Calc_TDF!S13,"")</f>
        <v/>
      </c>
      <c r="I261" s="14" t="str">
        <f>IF(TDF_Freq="trimestriel",Calc_TDF!I13,"")</f>
        <v/>
      </c>
      <c r="J261" s="14" t="str">
        <f>IF(TDF_Freq="trimestriel",Calc_TDF!J13,"")</f>
        <v/>
      </c>
      <c r="K261" s="14" t="str">
        <f>IF(TDF_Freq="trimestriel",Calc_TDF!K13,"")</f>
        <v/>
      </c>
      <c r="L261" s="13" t="str">
        <f t="shared" si="14"/>
        <v/>
      </c>
      <c r="M261" s="94" t="str">
        <f t="shared" si="15"/>
        <v/>
      </c>
    </row>
    <row r="262" spans="1:13" x14ac:dyDescent="0.35">
      <c r="A262" s="93" t="str">
        <f>IF(TDF_Freq="trimestriel","T1","")</f>
        <v/>
      </c>
      <c r="B262" s="94" t="str">
        <f>IF(TDF_Freq="trimestriel",3,"")</f>
        <v/>
      </c>
      <c r="C262" s="14" t="str">
        <f>IF(TDF_Freq="trimestriel",Calc_TDF!C14,"")</f>
        <v/>
      </c>
      <c r="D262" s="14" t="str">
        <f>IF(TDF_Freq="trimestriel",Calc_TDF!D14,"")</f>
        <v/>
      </c>
      <c r="E262" s="14" t="str">
        <f>IF(TDF_Freq="trimestriel",Calc_TDF!E14,"")</f>
        <v/>
      </c>
      <c r="F262" s="14" t="str">
        <f>IF(TDF_Freq="trimestriel",Calc_TDF!F14,"")</f>
        <v/>
      </c>
      <c r="G262" s="14" t="str">
        <f>IF(TDF_Freq="trimestriel",Calc_TDF!G14,"")</f>
        <v/>
      </c>
      <c r="H262" s="14" t="str">
        <f>IF(TDF_Freq="trimestriel",Calc_TDF!S14,"")</f>
        <v/>
      </c>
      <c r="I262" s="14" t="str">
        <f>IF(TDF_Freq="trimestriel",Calc_TDF!I14,"")</f>
        <v/>
      </c>
      <c r="J262" s="14" t="str">
        <f>IF(TDF_Freq="trimestriel",Calc_TDF!J14,"")</f>
        <v/>
      </c>
      <c r="K262" s="14" t="str">
        <f>IF(TDF_Freq="trimestriel",Calc_TDF!K14,"")</f>
        <v/>
      </c>
      <c r="L262" s="13" t="str">
        <f t="shared" si="14"/>
        <v/>
      </c>
      <c r="M262" s="94" t="str">
        <f t="shared" si="15"/>
        <v/>
      </c>
    </row>
    <row r="263" spans="1:13" x14ac:dyDescent="0.35">
      <c r="A263" s="93" t="str">
        <f>IF(TDF_Freq="trimestriel","T2","")</f>
        <v/>
      </c>
      <c r="B263" s="94" t="str">
        <f>IF(TDF_Freq="trimestriel",3,"")</f>
        <v/>
      </c>
      <c r="C263" s="14" t="str">
        <f>IF(TDF_Freq="trimestriel",Calc_TDF!C15,"")</f>
        <v/>
      </c>
      <c r="D263" s="14" t="str">
        <f>IF(TDF_Freq="trimestriel",Calc_TDF!D15,"")</f>
        <v/>
      </c>
      <c r="E263" s="14" t="str">
        <f>IF(TDF_Freq="trimestriel",Calc_TDF!E15,"")</f>
        <v/>
      </c>
      <c r="F263" s="14" t="str">
        <f>IF(TDF_Freq="trimestriel",Calc_TDF!F15,"")</f>
        <v/>
      </c>
      <c r="G263" s="14" t="str">
        <f>IF(TDF_Freq="trimestriel",Calc_TDF!G15,"")</f>
        <v/>
      </c>
      <c r="H263" s="14" t="str">
        <f>IF(TDF_Freq="trimestriel",Calc_TDF!S15,"")</f>
        <v/>
      </c>
      <c r="I263" s="14" t="str">
        <f>IF(TDF_Freq="trimestriel",Calc_TDF!I15,"")</f>
        <v/>
      </c>
      <c r="J263" s="14" t="str">
        <f>IF(TDF_Freq="trimestriel",Calc_TDF!J15,"")</f>
        <v/>
      </c>
      <c r="K263" s="14" t="str">
        <f>IF(TDF_Freq="trimestriel",Calc_TDF!K15,"")</f>
        <v/>
      </c>
      <c r="L263" s="13" t="str">
        <f t="shared" si="14"/>
        <v/>
      </c>
      <c r="M263" s="94" t="str">
        <f t="shared" si="15"/>
        <v/>
      </c>
    </row>
    <row r="264" spans="1:13" x14ac:dyDescent="0.35">
      <c r="A264" s="93" t="str">
        <f>IF(TDF_Freq="trimestriel","T3","")</f>
        <v/>
      </c>
      <c r="B264" s="94" t="str">
        <f>IF(TDF_Freq="trimestriel",3,"")</f>
        <v/>
      </c>
      <c r="C264" s="14" t="str">
        <f>IF(TDF_Freq="trimestriel",Calc_TDF!C16,"")</f>
        <v/>
      </c>
      <c r="D264" s="14" t="str">
        <f>IF(TDF_Freq="trimestriel",Calc_TDF!D16,"")</f>
        <v/>
      </c>
      <c r="E264" s="14" t="str">
        <f>IF(TDF_Freq="trimestriel",Calc_TDF!E16,"")</f>
        <v/>
      </c>
      <c r="F264" s="14" t="str">
        <f>IF(TDF_Freq="trimestriel",Calc_TDF!F16,"")</f>
        <v/>
      </c>
      <c r="G264" s="14" t="str">
        <f>IF(TDF_Freq="trimestriel",Calc_TDF!G16,"")</f>
        <v/>
      </c>
      <c r="H264" s="14" t="str">
        <f>IF(TDF_Freq="trimestriel",Calc_TDF!S16,"")</f>
        <v/>
      </c>
      <c r="I264" s="14" t="str">
        <f>IF(TDF_Freq="trimestriel",Calc_TDF!I16,"")</f>
        <v/>
      </c>
      <c r="J264" s="14" t="str">
        <f>IF(TDF_Freq="trimestriel",Calc_TDF!J16,"")</f>
        <v/>
      </c>
      <c r="K264" s="14" t="str">
        <f>IF(TDF_Freq="trimestriel",Calc_TDF!K16,"")</f>
        <v/>
      </c>
      <c r="L264" s="13" t="str">
        <f t="shared" si="14"/>
        <v/>
      </c>
      <c r="M264" s="94" t="str">
        <f t="shared" si="15"/>
        <v/>
      </c>
    </row>
    <row r="265" spans="1:13" x14ac:dyDescent="0.35">
      <c r="A265" s="93" t="str">
        <f>IF(TDF_Freq="trimestriel","T4","")</f>
        <v/>
      </c>
      <c r="B265" s="94" t="str">
        <f>IF(TDF_Freq="trimestriel",3,"")</f>
        <v/>
      </c>
      <c r="C265" s="14" t="str">
        <f>IF(TDF_Freq="trimestriel",Calc_TDF!C17,"")</f>
        <v/>
      </c>
      <c r="D265" s="14" t="str">
        <f>IF(TDF_Freq="trimestriel",Calc_TDF!D17,"")</f>
        <v/>
      </c>
      <c r="E265" s="14" t="str">
        <f>IF(TDF_Freq="trimestriel",Calc_TDF!E17,"")</f>
        <v/>
      </c>
      <c r="F265" s="14" t="str">
        <f>IF(TDF_Freq="trimestriel",Calc_TDF!F17,"")</f>
        <v/>
      </c>
      <c r="G265" s="14" t="str">
        <f>IF(TDF_Freq="trimestriel",Calc_TDF!G17,"")</f>
        <v/>
      </c>
      <c r="H265" s="14" t="str">
        <f>IF(TDF_Freq="trimestriel",Calc_TDF!S17,"")</f>
        <v/>
      </c>
      <c r="I265" s="14" t="str">
        <f>IF(TDF_Freq="trimestriel",Calc_TDF!I17,"")</f>
        <v/>
      </c>
      <c r="J265" s="14" t="str">
        <f>IF(TDF_Freq="trimestriel",Calc_TDF!J17,"")</f>
        <v/>
      </c>
      <c r="K265" s="14" t="str">
        <f>IF(TDF_Freq="trimestriel",Calc_TDF!K17,"")</f>
        <v/>
      </c>
      <c r="L265" s="13" t="str">
        <f t="shared" si="14"/>
        <v/>
      </c>
      <c r="M265" s="94" t="str">
        <f t="shared" si="15"/>
        <v/>
      </c>
    </row>
    <row r="266" spans="1:13" x14ac:dyDescent="0.35">
      <c r="A266" s="97"/>
      <c r="B266" s="98"/>
    </row>
    <row r="267" spans="1:13" x14ac:dyDescent="0.35">
      <c r="A267" s="24" t="str">
        <f>IF(TDF_Freq="trimestriel","Total Année 1","")</f>
        <v/>
      </c>
      <c r="B267" s="105"/>
      <c r="C267" s="105"/>
      <c r="D267" s="105"/>
      <c r="E267" s="105"/>
      <c r="F267" s="106"/>
      <c r="G267" s="106"/>
      <c r="H267" s="106"/>
      <c r="I267" s="107"/>
      <c r="J267" s="107"/>
      <c r="K267" s="107" t="str">
        <f>IF(TDF_Freq="trimestriel",SUM(K254:K257),"")</f>
        <v/>
      </c>
      <c r="L267" s="107"/>
      <c r="M267" s="107" t="str">
        <f>IF(TDF_Freq="trimestriel",SUM(M254:M257),"")</f>
        <v/>
      </c>
    </row>
    <row r="268" spans="1:13" x14ac:dyDescent="0.35">
      <c r="A268" s="24" t="str">
        <f>IF(TDF_Freq="trimestriel","Total Année 2","")</f>
        <v/>
      </c>
      <c r="B268" s="105"/>
      <c r="C268" s="105"/>
      <c r="D268" s="105"/>
      <c r="E268" s="105"/>
      <c r="F268" s="106"/>
      <c r="G268" s="106"/>
      <c r="H268" s="106"/>
      <c r="I268" s="107"/>
      <c r="J268" s="107"/>
      <c r="K268" s="107" t="str">
        <f>IF(TDF_Freq="trimestriel",SUM(K258:K261),"")</f>
        <v/>
      </c>
      <c r="L268" s="107"/>
      <c r="M268" s="107" t="str">
        <f>IF(TDF_Freq="trimestriel",SUM(M258:M261),"")</f>
        <v/>
      </c>
    </row>
    <row r="269" spans="1:13" x14ac:dyDescent="0.35">
      <c r="A269" s="24" t="str">
        <f>IF(TDF_Freq="trimestriel","Total Année 3","")</f>
        <v/>
      </c>
      <c r="B269" s="105"/>
      <c r="C269" s="105"/>
      <c r="D269" s="105"/>
      <c r="E269" s="105"/>
      <c r="F269" s="106"/>
      <c r="G269" s="106"/>
      <c r="H269" s="106"/>
      <c r="I269" s="107"/>
      <c r="J269" s="107"/>
      <c r="K269" s="107" t="str">
        <f>IF(TDF_Freq="trimestriel",SUM(K262:K265),"")</f>
        <v/>
      </c>
      <c r="L269" s="107"/>
      <c r="M269" s="107" t="str">
        <f>IF(TDF_Freq="trimestriel",SUM(M262:M265),"")</f>
        <v/>
      </c>
    </row>
    <row r="270" spans="1:13" x14ac:dyDescent="0.35">
      <c r="A270" s="9"/>
      <c r="B270" s="9"/>
      <c r="C270" s="9"/>
      <c r="D270" s="9"/>
      <c r="E270" s="9"/>
      <c r="F270" s="9"/>
      <c r="G270" s="9"/>
      <c r="H270" s="9"/>
      <c r="I270" s="9"/>
      <c r="J270" s="9"/>
      <c r="K270" s="95"/>
      <c r="L270" s="9"/>
      <c r="M270" s="95"/>
    </row>
    <row r="271" spans="1:13" s="96" customFormat="1" ht="16" x14ac:dyDescent="0.4">
      <c r="A271" s="86" t="str">
        <f>IF(BPG_Freq="trimestriel","TOTAL SUR 3 ANS","")</f>
        <v/>
      </c>
      <c r="B271" s="91"/>
      <c r="C271" s="91"/>
      <c r="D271" s="91"/>
      <c r="E271" s="91"/>
      <c r="F271" s="91"/>
      <c r="G271" s="91"/>
      <c r="H271" s="91"/>
      <c r="I271" s="91"/>
      <c r="J271" s="91"/>
      <c r="K271" s="87" t="str">
        <f>IF(BPG_Freq="trimestriel",SUM(K267:K269),"")</f>
        <v/>
      </c>
      <c r="L271" s="91"/>
      <c r="M271" s="87" t="str">
        <f>IF(BPG_Freq="trimestriel",SUM(M267:M269),"")</f>
        <v/>
      </c>
    </row>
    <row r="272" spans="1:13" x14ac:dyDescent="0.35">
      <c r="A272" s="97"/>
      <c r="B272" s="98"/>
    </row>
    <row r="273" spans="1:13" x14ac:dyDescent="0.35">
      <c r="A273" s="97" t="s">
        <v>104</v>
      </c>
      <c r="B273" s="98" t="str">
        <f>IF(TDF_Freq="Annuel",M231,IF(TDF_Freq="semestriel",M246,IF(TDF_Freq="trimestriel",M267,"")))</f>
        <v/>
      </c>
    </row>
    <row r="274" spans="1:13" x14ac:dyDescent="0.35">
      <c r="A274" s="97" t="s">
        <v>105</v>
      </c>
      <c r="B274" s="98" t="str">
        <f>IF(TDF_Freq="Annuel",M232,IF(TDF_Freq="semestriel",M247,IF(TDF_Freq="trimestriel",M268,"")))</f>
        <v/>
      </c>
    </row>
    <row r="275" spans="1:13" x14ac:dyDescent="0.35">
      <c r="A275" s="97" t="s">
        <v>106</v>
      </c>
      <c r="B275" s="98" t="str">
        <f>IF(TDF_Freq="Annuel",M233,IF(TDF_Freq="semestriel",M248,IF(TDF_Freq="trimestriel",M269,"")))</f>
        <v/>
      </c>
    </row>
    <row r="276" spans="1:13" x14ac:dyDescent="0.35">
      <c r="A276" s="97" t="s">
        <v>107</v>
      </c>
      <c r="B276" s="98" t="str">
        <f>IFERROR(B273+B274+B275,"")</f>
        <v/>
      </c>
    </row>
    <row r="277" spans="1:13" s="118" customFormat="1" ht="15" thickBot="1" x14ac:dyDescent="0.4"/>
    <row r="279" spans="1:13" s="2" customFormat="1" ht="18.5" x14ac:dyDescent="0.45">
      <c r="A279" s="395" t="s">
        <v>563</v>
      </c>
      <c r="B279" s="395"/>
      <c r="C279" s="395"/>
      <c r="D279" s="395"/>
      <c r="E279" s="395"/>
      <c r="F279" s="395"/>
      <c r="G279" s="395"/>
      <c r="H279" s="395"/>
      <c r="I279" s="395"/>
      <c r="J279" s="395"/>
      <c r="K279" s="236"/>
      <c r="L279" s="236"/>
      <c r="M279" s="236"/>
    </row>
    <row r="280" spans="1:13" s="9" customFormat="1" x14ac:dyDescent="0.35">
      <c r="A280" s="234" t="s">
        <v>564</v>
      </c>
      <c r="B280" s="234"/>
      <c r="C280" s="234"/>
      <c r="D280" s="234"/>
      <c r="E280" s="234"/>
      <c r="F280" s="234"/>
      <c r="G280" s="234"/>
      <c r="H280" s="234"/>
      <c r="I280" s="234"/>
      <c r="J280" s="234"/>
      <c r="K280" s="235"/>
      <c r="L280" s="235"/>
      <c r="M280" s="235"/>
    </row>
    <row r="281" spans="1:13" x14ac:dyDescent="0.35">
      <c r="A281" s="110"/>
      <c r="B281" s="110"/>
      <c r="C281" s="110"/>
      <c r="D281" s="110"/>
      <c r="E281" s="110"/>
      <c r="F281" s="110"/>
      <c r="G281" s="110"/>
      <c r="H281" s="110"/>
      <c r="I281" s="110"/>
      <c r="J281" s="110"/>
      <c r="K281" s="110"/>
      <c r="L281" s="110"/>
      <c r="M281" s="110"/>
    </row>
    <row r="282" spans="1:13" x14ac:dyDescent="0.35">
      <c r="A282" s="110" t="s">
        <v>565</v>
      </c>
      <c r="B282" s="110"/>
      <c r="C282" s="110"/>
      <c r="D282" s="110"/>
      <c r="E282" s="110"/>
      <c r="F282" s="110"/>
      <c r="G282" s="110"/>
      <c r="H282" s="110"/>
      <c r="I282" s="110"/>
      <c r="J282" s="110"/>
      <c r="K282" s="110"/>
      <c r="L282" s="110"/>
      <c r="M282" s="110"/>
    </row>
    <row r="283" spans="1:13" x14ac:dyDescent="0.35">
      <c r="A283" s="259" t="s">
        <v>566</v>
      </c>
      <c r="B283" s="111">
        <f>IF(Other_DualTest_Freq="",DualTest_Freq,Other_DualTest_Freq)</f>
        <v>0</v>
      </c>
      <c r="C283" s="110"/>
      <c r="D283" s="110"/>
      <c r="E283" s="110"/>
      <c r="F283" s="110"/>
      <c r="G283" s="110"/>
      <c r="H283" s="110"/>
      <c r="I283" s="110"/>
      <c r="J283" s="110"/>
      <c r="K283" s="110"/>
      <c r="L283" s="110"/>
      <c r="M283" s="110"/>
    </row>
    <row r="284" spans="1:13" ht="29" x14ac:dyDescent="0.35">
      <c r="A284" s="260" t="s">
        <v>567</v>
      </c>
      <c r="B284" s="228">
        <f>IF(Other_HBsAg_Freq="",HBsAg_Freq,Other_HBsAg_Freq)</f>
        <v>0</v>
      </c>
      <c r="C284" s="110"/>
      <c r="D284" s="110"/>
      <c r="E284" s="110"/>
      <c r="F284" s="110"/>
      <c r="G284" s="110"/>
      <c r="H284" s="110"/>
      <c r="I284" s="110"/>
      <c r="J284" s="110"/>
      <c r="K284" s="110"/>
      <c r="L284" s="110"/>
      <c r="M284" s="110"/>
    </row>
    <row r="285" spans="1:13" x14ac:dyDescent="0.35">
      <c r="A285" s="259" t="s">
        <v>568</v>
      </c>
      <c r="B285" s="111">
        <f>IF(Other_TripleTest_Freq="",TripleTest_Freq,Other_TripleTest_Freq)</f>
        <v>0</v>
      </c>
      <c r="C285" s="110"/>
      <c r="D285" s="110"/>
      <c r="E285" s="110"/>
      <c r="F285" s="110"/>
      <c r="G285" s="110"/>
      <c r="H285" s="110"/>
      <c r="I285" s="110"/>
      <c r="J285" s="110"/>
      <c r="K285" s="110"/>
      <c r="L285" s="110"/>
      <c r="M285" s="110"/>
    </row>
    <row r="286" spans="1:13" x14ac:dyDescent="0.35">
      <c r="A286" s="259" t="s">
        <v>569</v>
      </c>
      <c r="B286" s="111">
        <f>IF(Other_BPG_Freq="",BPG_Freq,Other_BPG_Freq)</f>
        <v>0</v>
      </c>
      <c r="C286" s="110"/>
      <c r="D286" s="110"/>
      <c r="E286" s="110"/>
      <c r="F286" s="110"/>
      <c r="G286" s="110"/>
      <c r="H286" s="110"/>
      <c r="I286" s="110"/>
      <c r="J286" s="110"/>
      <c r="K286" s="110"/>
      <c r="L286" s="110"/>
      <c r="M286" s="110"/>
    </row>
    <row r="287" spans="1:13" x14ac:dyDescent="0.35">
      <c r="A287" s="260" t="s">
        <v>570</v>
      </c>
      <c r="B287" s="111">
        <f>IF(Other_TDF_Freq="",TDF_Freq,Other_TDF_Freq)</f>
        <v>0</v>
      </c>
      <c r="C287" s="110"/>
      <c r="D287" s="110"/>
      <c r="E287" s="110"/>
      <c r="F287" s="110"/>
      <c r="G287" s="110"/>
      <c r="H287" s="110"/>
      <c r="I287" s="110"/>
      <c r="J287" s="110"/>
      <c r="K287" s="110"/>
      <c r="L287" s="110"/>
      <c r="M287" s="110"/>
    </row>
    <row r="288" spans="1:13" ht="15" thickBot="1" x14ac:dyDescent="0.4"/>
    <row r="289" spans="1:13" ht="16.5" thickBot="1" x14ac:dyDescent="0.45">
      <c r="A289" s="374" t="s">
        <v>571</v>
      </c>
      <c r="B289" s="375"/>
      <c r="C289" s="375"/>
      <c r="D289" s="375"/>
      <c r="E289" s="375"/>
      <c r="F289" s="375"/>
      <c r="G289" s="375"/>
      <c r="H289" s="375"/>
      <c r="I289" s="375"/>
      <c r="J289" s="375"/>
      <c r="K289" s="375"/>
      <c r="L289" s="375"/>
      <c r="M289" s="376"/>
    </row>
    <row r="291" spans="1:13" x14ac:dyDescent="0.35">
      <c r="A291" s="163" t="s">
        <v>536</v>
      </c>
    </row>
    <row r="292" spans="1:13" ht="58" x14ac:dyDescent="0.35">
      <c r="A292" s="58" t="s">
        <v>537</v>
      </c>
      <c r="B292" s="58" t="s">
        <v>538</v>
      </c>
      <c r="C292" s="57" t="s">
        <v>572</v>
      </c>
      <c r="D292" s="57" t="s">
        <v>540</v>
      </c>
      <c r="E292" s="57" t="s">
        <v>573</v>
      </c>
      <c r="F292" s="57" t="s">
        <v>542</v>
      </c>
      <c r="G292" s="57" t="s">
        <v>543</v>
      </c>
      <c r="H292" s="57" t="s">
        <v>544</v>
      </c>
      <c r="I292" s="57" t="s">
        <v>545</v>
      </c>
      <c r="J292" s="57" t="s">
        <v>546</v>
      </c>
      <c r="K292" s="57" t="s">
        <v>547</v>
      </c>
      <c r="L292" s="57" t="s">
        <v>548</v>
      </c>
    </row>
    <row r="293" spans="1:13" x14ac:dyDescent="0.35">
      <c r="A293" s="36" t="str">
        <f>IF(Other_Population="","",IF(Effective_Other_DualTest_Freq="Annuel","Année 1",""))</f>
        <v/>
      </c>
      <c r="B293" s="13" t="str">
        <f>IF(Other_Population="","",IF(Effective_Other_DualTest_Freq="Annuel",1,""))</f>
        <v/>
      </c>
      <c r="C293" s="14" t="str">
        <f>IF(Other_Population="","",IF(Effective_Other_DualTest_Freq="Annuel",Other_Population,""))</f>
        <v/>
      </c>
      <c r="D293" s="14" t="str">
        <f>IF(Other_Population="","",IF(Effective_Other_DualTest_Freq="Annuel",Other_Y1_Screening_Target,""))</f>
        <v/>
      </c>
      <c r="E293" s="14" t="str">
        <f>IF(Other_Population="","",IF(Effective_Other_DualTest_Freq="Annuel",Calc_DualTests!E41,""))</f>
        <v/>
      </c>
      <c r="F293" s="14" t="str">
        <f>IF(Other_Population="","",IF(Effective_Other_DualTest_Freq="Annuel",Calc_DualTests!F41,""))</f>
        <v/>
      </c>
      <c r="G293" s="14" t="str">
        <f>IF(Other_Population="","",IF(Effective_Other_DualTest_Freq="Annuel",Calc_DualTests!G41,""))</f>
        <v/>
      </c>
      <c r="H293" s="14" t="str">
        <f>IF(Other_Population="","",IF(Effective_Other_DualTest_Freq="Annuel",Calc_DualTests!H41,""))</f>
        <v/>
      </c>
      <c r="I293" s="14" t="str">
        <f>IF(Other_Population="","",IF(Effective_Other_DualTest_Freq="Annuel",Calc_DualTests!I41,""))</f>
        <v/>
      </c>
      <c r="J293" s="14" t="str">
        <f>IF(Other_Population="","",IF(Effective_Other_DualTest_Freq="Annuel",Calc_DualTests!J41,""))</f>
        <v/>
      </c>
      <c r="K293" s="13" t="str">
        <f>IF(Other_Population="","",IF(Effective_Other_DualTest_Freq="Annuel",DualTest_PackSize,""))</f>
        <v/>
      </c>
      <c r="L293" s="14" t="str">
        <f>IF(Other_Population="","",IF(Effective_Other_DualTest_Freq="Annuel",IF(DualTest_PackSize="","Enter pack size",CEILING(Calc_DualTests!J41/DualTest_PackSize,1)),""))</f>
        <v/>
      </c>
    </row>
    <row r="294" spans="1:13" x14ac:dyDescent="0.35">
      <c r="A294" s="36" t="str">
        <f>IF(Other_Population="","",IF(Effective_Other_DualTest_Freq="Annuel","Année 2",""))</f>
        <v/>
      </c>
      <c r="B294" s="13" t="str">
        <f>IF(Other_Population="","",IF(Effective_Other_DualTest_Freq="Annuel",2,""))</f>
        <v/>
      </c>
      <c r="C294" s="14" t="str">
        <f>IF(Other_Population="","",IF(Effective_Other_DualTest_Freq="Annuel",Other_Population,""))</f>
        <v/>
      </c>
      <c r="D294" s="14" t="str">
        <f>IF(Other_Population="","",IF(Effective_Other_DualTest_Freq="Annuel",Other_Y2_Screening_Target,""))</f>
        <v/>
      </c>
      <c r="E294" s="14" t="str">
        <f>IF(Other_Population="","",IF(Effective_Other_DualTest_Freq="Annuel",Calc_DualTests!E42,""))</f>
        <v/>
      </c>
      <c r="F294" s="14" t="str">
        <f>IF(Other_Population="","",IF(Effective_Other_DualTest_Freq="Annuel",Calc_DualTests!F42,""))</f>
        <v/>
      </c>
      <c r="G294" s="14" t="str">
        <f>IF(Other_Population="","",IF(Effective_Other_DualTest_Freq="Annuel",Calc_DualTests!G42,""))</f>
        <v/>
      </c>
      <c r="H294" s="14" t="str">
        <f>IF(Other_Population="","",IF(Effective_Other_DualTest_Freq="Annuel",Calc_DualTests!H42,""))</f>
        <v/>
      </c>
      <c r="I294" s="14" t="str">
        <f>IF(Other_Population="","",IF(Effective_Other_DualTest_Freq="Annuel",Calc_DualTests!I42,""))</f>
        <v/>
      </c>
      <c r="J294" s="14" t="str">
        <f>IF(Other_Population="","",IF(Effective_Other_DualTest_Freq="Annuel",Calc_DualTests!J42,""))</f>
        <v/>
      </c>
      <c r="K294" s="13" t="str">
        <f>IF(Other_Population="","",IF(Effective_Other_DualTest_Freq="Annuel",DualTest_PackSize,""))</f>
        <v/>
      </c>
      <c r="L294" s="14" t="str">
        <f>IF(Other_Population="","",IF(Effective_Other_DualTest_Freq="Annuel",IF(DualTest_PackSize="","Enter pack size",CEILING(Calc_DualTests!J42/DualTest_PackSize,1)),""))</f>
        <v/>
      </c>
    </row>
    <row r="295" spans="1:13" x14ac:dyDescent="0.35">
      <c r="A295" s="36" t="str">
        <f>IF(Other_Population="","",IF(Effective_Other_DualTest_Freq="Annuel","Année 3",""))</f>
        <v/>
      </c>
      <c r="B295" s="13" t="str">
        <f>IF(Other_Population="","",IF(Effective_Other_DualTest_Freq="Annuel",3,""))</f>
        <v/>
      </c>
      <c r="C295" s="14" t="str">
        <f>IF(Other_Population="","",IF(Effective_Other_DualTest_Freq="Annuel",Other_Population,""))</f>
        <v/>
      </c>
      <c r="D295" s="14" t="str">
        <f>IF(Other_Population="","",IF(Effective_Other_DualTest_Freq="Annuel",Other_Y3_Screening_Target,""))</f>
        <v/>
      </c>
      <c r="E295" s="14" t="str">
        <f>IF(Other_Population="","",IF(Effective_Other_DualTest_Freq="Annuel",Calc_DualTests!E43,""))</f>
        <v/>
      </c>
      <c r="F295" s="14" t="str">
        <f>IF(Other_Population="","",IF(Effective_Other_DualTest_Freq="Annuel",Calc_DualTests!F43,""))</f>
        <v/>
      </c>
      <c r="G295" s="14" t="str">
        <f>IF(Other_Population="","",IF(Effective_Other_DualTest_Freq="Annuel",Calc_DualTests!G43,""))</f>
        <v/>
      </c>
      <c r="H295" s="14" t="str">
        <f>IF(Other_Population="","",IF(Effective_Other_DualTest_Freq="Annuel",Calc_DualTests!H43,""))</f>
        <v/>
      </c>
      <c r="I295" s="14" t="str">
        <f>IF(Other_Population="","",IF(Effective_Other_DualTest_Freq="Annuel",Calc_DualTests!I43,""))</f>
        <v/>
      </c>
      <c r="J295" s="14" t="str">
        <f>IF(Other_Population="","",IF(Effective_Other_DualTest_Freq="Annuel",Calc_DualTests!J43,""))</f>
        <v/>
      </c>
      <c r="K295" s="13" t="str">
        <f>IF(Other_Population="","",IF(Effective_Other_DualTest_Freq="Annuel",DualTest_PackSize,""))</f>
        <v/>
      </c>
      <c r="L295" s="14" t="str">
        <f>IF(Other_Population="","",IF(Effective_Other_DualTest_Freq="Annuel",IF(DualTest_PackSize="","Enter pack size",CEILING(Calc_DualTests!J43/DualTest_PackSize,1)),""))</f>
        <v/>
      </c>
    </row>
    <row r="297" spans="1:13" s="96" customFormat="1" ht="16" x14ac:dyDescent="0.4">
      <c r="A297" s="86" t="str">
        <f>IF(Other_Population="","",IF(Effective_Other_DualTest_Freq="Annuel","TOTAL SUR 3 ANS",""))</f>
        <v/>
      </c>
      <c r="B297" s="91"/>
      <c r="C297" s="91"/>
      <c r="D297" s="91"/>
      <c r="E297" s="91"/>
      <c r="F297" s="91"/>
      <c r="G297" s="91"/>
      <c r="H297" s="91"/>
      <c r="I297" s="91"/>
      <c r="J297" s="87" t="str">
        <f>IF(Other_Population="","",IF(Effective_Other_DualTest_Freq="Annuel",Calc_DualTests!J45,""))</f>
        <v/>
      </c>
      <c r="K297" s="91"/>
      <c r="L297" s="87" t="str">
        <f>IF(Other_Population="","",IF(Effective_Other_DualTest_Freq="Annuel",SUM(L293:L295),""))</f>
        <v/>
      </c>
    </row>
    <row r="298" spans="1:13" ht="16" x14ac:dyDescent="0.4">
      <c r="A298" s="79"/>
      <c r="B298" s="92"/>
      <c r="C298" s="92"/>
      <c r="D298" s="92"/>
      <c r="E298" s="92"/>
      <c r="F298" s="92"/>
      <c r="G298" s="92"/>
      <c r="H298" s="92"/>
      <c r="I298" s="92"/>
      <c r="J298" s="80"/>
      <c r="K298" s="92"/>
      <c r="L298" s="80"/>
    </row>
    <row r="299" spans="1:13" ht="16" x14ac:dyDescent="0.4">
      <c r="A299" s="163" t="s">
        <v>549</v>
      </c>
      <c r="B299" s="92"/>
      <c r="C299" s="92"/>
      <c r="D299" s="92"/>
      <c r="E299" s="92"/>
      <c r="F299" s="92"/>
      <c r="G299" s="92"/>
      <c r="H299" s="92"/>
      <c r="I299" s="92"/>
      <c r="J299" s="80"/>
      <c r="K299" s="92"/>
      <c r="L299" s="80"/>
    </row>
    <row r="300" spans="1:13" ht="58" x14ac:dyDescent="0.35">
      <c r="A300" s="58" t="s">
        <v>537</v>
      </c>
      <c r="B300" s="58" t="s">
        <v>538</v>
      </c>
      <c r="C300" s="57" t="s">
        <v>572</v>
      </c>
      <c r="D300" s="57" t="s">
        <v>540</v>
      </c>
      <c r="E300" s="57" t="s">
        <v>573</v>
      </c>
      <c r="F300" s="57" t="s">
        <v>542</v>
      </c>
      <c r="G300" s="57" t="s">
        <v>543</v>
      </c>
      <c r="H300" s="57" t="s">
        <v>544</v>
      </c>
      <c r="I300" s="57" t="s">
        <v>545</v>
      </c>
      <c r="J300" s="57" t="s">
        <v>546</v>
      </c>
      <c r="K300" s="57" t="s">
        <v>547</v>
      </c>
      <c r="L300" s="57" t="s">
        <v>548</v>
      </c>
    </row>
    <row r="301" spans="1:13" x14ac:dyDescent="0.35">
      <c r="A301" s="93" t="str">
        <f>IF(Other_Population="","",IF(Effective_Other_DualTest_Freq="semestriel","S1",""))</f>
        <v/>
      </c>
      <c r="B301" s="93" t="str">
        <f>IF(Other_Population="","",IF(Effective_Other_DualTest_Freq="semestriel",1,""))</f>
        <v/>
      </c>
      <c r="C301" s="14" t="str">
        <f t="shared" ref="C301:C306" si="16">IF(Other_Population="","",IF(Effective_Other_DualTest_Freq="semestriel",Other_Population/2,""))</f>
        <v/>
      </c>
      <c r="D301" s="93" t="str">
        <f>IF(Other_Population="","",IF(Effective_Other_DualTest_Freq="semestriel",Other_Y1_Screening_Target,""))</f>
        <v/>
      </c>
      <c r="E301" s="14" t="str">
        <f>IF(Other_Population="","",IF(Effective_Other_DualTest_Freq="semestriel",Calc_DualTests!E28+Calc_DualTests!E29,""))</f>
        <v/>
      </c>
      <c r="F301" s="14" t="str">
        <f>IF(Other_Population="","",IF(Effective_Other_DualTest_Freq="semestriel",Calc_DualTests!F28+Calc_DualTests!F29,""))</f>
        <v/>
      </c>
      <c r="G301" s="14" t="str">
        <f>IF(Other_Population="","",IF(Effective_Other_DualTest_Freq="semestriel",Calc_DualTests!G28+Calc_DualTests!G29,""))</f>
        <v/>
      </c>
      <c r="H301" s="14" t="str">
        <f>IF(Other_Population="","",IF(Effective_Other_DualTest_Freq="semestriel",Calc_DualTests!S28+Calc_DualTests!S29,""))</f>
        <v/>
      </c>
      <c r="I301" s="14" t="str">
        <f>IF(Other_Population="","",IF(Effective_Other_DualTest_Freq="semestriel",Calc_DualTests!I28+Calc_DualTests!I29,""))</f>
        <v/>
      </c>
      <c r="J301" s="94" t="str">
        <f>IF(Other_Population="","",IF(Effective_Other_DualTest_Freq="semestriel",Calc_DualTests!J28+Calc_DualTests!J29,""))</f>
        <v/>
      </c>
      <c r="K301" s="93" t="str">
        <f t="shared" ref="K301:K306" si="17">IF(Other_Population="","",IF(Effective_Other_DualTest_Freq="semestriel",DualTest_PackSize,""))</f>
        <v/>
      </c>
      <c r="L301" s="94" t="str">
        <f>IF(Other_Population="","",IF(Effective_Other_DualTest_Freq="semestriel",IF(DualTest_PackSize="","Enter pack size",CEILING((Calc_DualTests!J28+Calc_DualTests!J29)/DualTest_PackSize,1)),""))</f>
        <v/>
      </c>
    </row>
    <row r="302" spans="1:13" x14ac:dyDescent="0.35">
      <c r="A302" s="93" t="str">
        <f>IF(Other_Population="","",IF(Effective_Other_DualTest_Freq="semestriel","S2",""))</f>
        <v/>
      </c>
      <c r="B302" s="93" t="str">
        <f>IF(Other_Population="","",IF(Effective_Other_DualTest_Freq="semestriel",1,""))</f>
        <v/>
      </c>
      <c r="C302" s="14" t="str">
        <f t="shared" si="16"/>
        <v/>
      </c>
      <c r="D302" s="93" t="str">
        <f>IF(Other_Population="","",IF(Effective_Other_DualTest_Freq="semestriel",Other_Y1_Screening_Target,""))</f>
        <v/>
      </c>
      <c r="E302" s="14" t="str">
        <f>IF(Other_Population="","",IF(Effective_Other_DualTest_Freq="semestriel",Calc_DualTests!E30+Calc_DualTests!E31,""))</f>
        <v/>
      </c>
      <c r="F302" s="14" t="str">
        <f>IF(Other_Population="","",IF(Effective_Other_DualTest_Freq="semestriel",Calc_DualTests!F30+Calc_DualTests!F31,""))</f>
        <v/>
      </c>
      <c r="G302" s="14" t="str">
        <f>IF(Other_Population="","",IF(Effective_Other_DualTest_Freq="semestriel",Calc_DualTests!G30+Calc_DualTests!G31,""))</f>
        <v/>
      </c>
      <c r="H302" s="14" t="str">
        <f>IF(Other_Population="","",IF(Effective_Other_DualTest_Freq="semestriel",Calc_DualTests!H30+Calc_DualTests!H31,""))</f>
        <v/>
      </c>
      <c r="I302" s="14" t="str">
        <f>IF(Other_Population="","",IF(Effective_Other_DualTest_Freq="semestriel",Calc_DualTests!I30+Calc_DualTests!I31,""))</f>
        <v/>
      </c>
      <c r="J302" s="94" t="str">
        <f>IF(Other_Population="","",IF(Effective_Other_DualTest_Freq="semestriel",Calc_DualTests!J30+Calc_DualTests!J31,""))</f>
        <v/>
      </c>
      <c r="K302" s="93" t="str">
        <f t="shared" si="17"/>
        <v/>
      </c>
      <c r="L302" s="94" t="str">
        <f>IF(Other_Population="","",IF(Effective_Other_DualTest_Freq="semestriel",IF(DualTest_PackSize="","Enter pack size",CEILING((Calc_DualTests!J30+Calc_DualTests!J31)/DualTest_PackSize,1)),""))</f>
        <v/>
      </c>
    </row>
    <row r="303" spans="1:13" x14ac:dyDescent="0.35">
      <c r="A303" s="93" t="str">
        <f>IF(Other_Population="","",IF(Effective_Other_DualTest_Freq="semestriel","S1",""))</f>
        <v/>
      </c>
      <c r="B303" s="93" t="str">
        <f>IF(Other_Population="","",IF(Effective_Other_DualTest_Freq="semestriel",2,""))</f>
        <v/>
      </c>
      <c r="C303" s="14" t="str">
        <f t="shared" si="16"/>
        <v/>
      </c>
      <c r="D303" s="93" t="str">
        <f>IF(Other_Population="","",IF(Effective_Other_DualTest_Freq="semestriel",Other_Y2_Screening_Target,""))</f>
        <v/>
      </c>
      <c r="E303" s="14" t="str">
        <f>IF(Other_Population="","",IF(Effective_Other_DualTest_Freq="semestriel",Calc_DualTests!E32+Calc_DualTests!E33,""))</f>
        <v/>
      </c>
      <c r="F303" s="14" t="str">
        <f>IF(Other_Population="","",IF(Effective_Other_DualTest_Freq="semestriel",Calc_DualTests!F32+Calc_DualTests!F33,""))</f>
        <v/>
      </c>
      <c r="G303" s="14" t="str">
        <f>IF(Other_Population="","",IF(Effective_Other_DualTest_Freq="semestriel",Calc_DualTests!G32+Calc_DualTests!G33,""))</f>
        <v/>
      </c>
      <c r="H303" s="14" t="str">
        <f>IF(Other_Population="","",IF(Effective_Other_DualTest_Freq="semestriel",Calc_DualTests!H32+Calc_DualTests!H33,""))</f>
        <v/>
      </c>
      <c r="I303" s="14" t="str">
        <f>IF(Other_Population="","",IF(Effective_Other_DualTest_Freq="semestriel",Calc_DualTests!I32+Calc_DualTests!I33,""))</f>
        <v/>
      </c>
      <c r="J303" s="94" t="str">
        <f>IF(Other_Population="","",IF(Effective_Other_DualTest_Freq="semestriel",Calc_DualTests!J32+Calc_DualTests!J33,""))</f>
        <v/>
      </c>
      <c r="K303" s="93" t="str">
        <f t="shared" si="17"/>
        <v/>
      </c>
      <c r="L303" s="94" t="str">
        <f>IF(Other_Population="","",IF(Effective_Other_DualTest_Freq="semestriel",IF(DualTest_PackSize="","Enter pack size",CEILING((Calc_DualTests!J32+Calc_DualTests!J33)/DualTest_PackSize,1)),""))</f>
        <v/>
      </c>
    </row>
    <row r="304" spans="1:13" x14ac:dyDescent="0.35">
      <c r="A304" s="93" t="str">
        <f>IF(Other_Population="","",IF(Effective_Other_DualTest_Freq="semestriel","S2",""))</f>
        <v/>
      </c>
      <c r="B304" s="93" t="str">
        <f>IF(Other_Population="","",IF(Effective_Other_DualTest_Freq="semestriel",2,""))</f>
        <v/>
      </c>
      <c r="C304" s="14" t="str">
        <f t="shared" si="16"/>
        <v/>
      </c>
      <c r="D304" s="93" t="str">
        <f>IF(Other_Population="","",IF(Effective_Other_DualTest_Freq="semestriel",Other_Y2_Screening_Target,""))</f>
        <v/>
      </c>
      <c r="E304" s="14" t="str">
        <f>IF(Other_Population="","",IF(Effective_Other_DualTest_Freq="semestriel",Calc_DualTests!E34+Calc_DualTests!E35,""))</f>
        <v/>
      </c>
      <c r="F304" s="14" t="str">
        <f>IF(Other_Population="","",IF(Effective_Other_DualTest_Freq="semestriel",Calc_DualTests!F34+Calc_DualTests!F35,""))</f>
        <v/>
      </c>
      <c r="G304" s="14" t="str">
        <f>IF(Other_Population="","",IF(Effective_Other_DualTest_Freq="semestriel",Calc_DualTests!G34+Calc_DualTests!G35,""))</f>
        <v/>
      </c>
      <c r="H304" s="14" t="str">
        <f>IF(Other_Population="","",IF(Effective_Other_DualTest_Freq="semestriel",Calc_DualTests!H34+Calc_DualTests!H35,""))</f>
        <v/>
      </c>
      <c r="I304" s="14" t="str">
        <f>IF(Other_Population="","",IF(Effective_Other_DualTest_Freq="semestriel",Calc_DualTests!I34+Calc_DualTests!I35,""))</f>
        <v/>
      </c>
      <c r="J304" s="94" t="str">
        <f>IF(Other_Population="","",IF(Effective_Other_DualTest_Freq="semestriel",Calc_DualTests!J34+Calc_DualTests!J35,""))</f>
        <v/>
      </c>
      <c r="K304" s="93" t="str">
        <f t="shared" si="17"/>
        <v/>
      </c>
      <c r="L304" s="94" t="str">
        <f>IF(Other_Population="","",IF(Effective_Other_DualTest_Freq="semestriel",IF(DualTest_PackSize="","Enter pack size",CEILING((Calc_DualTests!J34+Calc_DualTests!J35)/DualTest_PackSize,1)),""))</f>
        <v/>
      </c>
    </row>
    <row r="305" spans="1:12" x14ac:dyDescent="0.35">
      <c r="A305" s="93" t="str">
        <f>IF(Other_Population="","",IF(Effective_Other_DualTest_Freq="semestriel","S1",""))</f>
        <v/>
      </c>
      <c r="B305" s="93" t="str">
        <f>IF(Other_Population="","",IF(Effective_Other_DualTest_Freq="semestriel",3,""))</f>
        <v/>
      </c>
      <c r="C305" s="14" t="str">
        <f t="shared" si="16"/>
        <v/>
      </c>
      <c r="D305" s="93" t="str">
        <f>IF(Other_Population="","",IF(Effective_Other_DualTest_Freq="semestriel",Other_Y3_Screening_Target,""))</f>
        <v/>
      </c>
      <c r="E305" s="14" t="str">
        <f>IF(Other_Population="","",IF(Effective_Other_DualTest_Freq="semestriel",Calc_DualTests!E36+Calc_DualTests!E37,""))</f>
        <v/>
      </c>
      <c r="F305" s="14" t="str">
        <f>IF(Other_Population="","",IF(Effective_Other_DualTest_Freq="semestriel",Calc_DualTests!F36+Calc_DualTests!F37,""))</f>
        <v/>
      </c>
      <c r="G305" s="14" t="str">
        <f>IF(Other_Population="","",IF(Effective_Other_DualTest_Freq="semestriel",Calc_DualTests!G36+Calc_DualTests!G37,""))</f>
        <v/>
      </c>
      <c r="H305" s="14" t="str">
        <f>IF(Other_Population="","",IF(Effective_Other_DualTest_Freq="semestriel",Calc_DualTests!H36+Calc_DualTests!H37,""))</f>
        <v/>
      </c>
      <c r="I305" s="14" t="str">
        <f>IF(Other_Population="","",IF(Effective_Other_DualTest_Freq="semestriel",Calc_DualTests!I36+Calc_DualTests!I37,""))</f>
        <v/>
      </c>
      <c r="J305" s="94" t="str">
        <f>IF(Other_Population="","",IF(Effective_Other_DualTest_Freq="semestriel",Calc_DualTests!J36+Calc_DualTests!J37,""))</f>
        <v/>
      </c>
      <c r="K305" s="93" t="str">
        <f t="shared" si="17"/>
        <v/>
      </c>
      <c r="L305" s="94" t="str">
        <f>IF(Other_Population="","",IF(Effective_Other_DualTest_Freq="semestriel",IF(DualTest_PackSize="","Enter pack size",CEILING((Calc_DualTests!J36+Calc_DualTests!J37)/DualTest_PackSize,1)),""))</f>
        <v/>
      </c>
    </row>
    <row r="306" spans="1:12" x14ac:dyDescent="0.35">
      <c r="A306" s="93" t="str">
        <f>IF(Other_Population="","",IF(Effective_Other_DualTest_Freq="semestriel","S2",""))</f>
        <v/>
      </c>
      <c r="B306" s="93" t="str">
        <f>IF(Other_Population="","",IF(Effective_Other_DualTest_Freq="semestriel",3,""))</f>
        <v/>
      </c>
      <c r="C306" s="14" t="str">
        <f t="shared" si="16"/>
        <v/>
      </c>
      <c r="D306" s="93" t="str">
        <f>IF(Other_Population="","",IF(Effective_Other_DualTest_Freq="semestriel",Other_Y3_Screening_Target,""))</f>
        <v/>
      </c>
      <c r="E306" s="14" t="str">
        <f>IF(Other_Population="","",IF(Effective_Other_DualTest_Freq="semestriel",Calc_DualTests!E38+Calc_DualTests!E39,""))</f>
        <v/>
      </c>
      <c r="F306" s="14" t="str">
        <f>IF(Other_Population="","",IF(Effective_Other_DualTest_Freq="semestriel",Calc_DualTests!F38+Calc_DualTests!F39,""))</f>
        <v/>
      </c>
      <c r="G306" s="14" t="str">
        <f>IF(Other_Population="","",IF(Effective_Other_DualTest_Freq="semestriel",Calc_DualTests!G38+Calc_DualTests!G39,""))</f>
        <v/>
      </c>
      <c r="H306" s="14" t="str">
        <f>IF(Other_Population="","",IF(Effective_Other_DualTest_Freq="semestriel",Calc_DualTests!H38+Calc_DualTests!H39,""))</f>
        <v/>
      </c>
      <c r="I306" s="14" t="str">
        <f>IF(Other_Population="","",IF(Effective_Other_DualTest_Freq="semestriel",Calc_DualTests!I38+Calc_DualTests!I39,""))</f>
        <v/>
      </c>
      <c r="J306" s="94" t="str">
        <f>IF(Other_Population="","",IF(Effective_Other_DualTest_Freq="semestriel",Calc_DualTests!J38+Calc_DualTests!J39,""))</f>
        <v/>
      </c>
      <c r="K306" s="93" t="str">
        <f t="shared" si="17"/>
        <v/>
      </c>
      <c r="L306" s="94" t="str">
        <f>IF(Other_Population="","",IF(Effective_Other_DualTest_Freq="semestriel",IF(DualTest_PackSize="","Enter pack size",CEILING((Calc_DualTests!J38+Calc_DualTests!J39)/DualTest_PackSize,1)),""))</f>
        <v/>
      </c>
    </row>
    <row r="307" spans="1:12" x14ac:dyDescent="0.35">
      <c r="A307" s="9"/>
      <c r="B307" s="9"/>
      <c r="C307" s="48"/>
      <c r="D307" s="9"/>
      <c r="E307" s="48"/>
      <c r="F307" s="48"/>
      <c r="G307" s="48"/>
      <c r="H307" s="48"/>
      <c r="I307" s="48"/>
      <c r="J307" s="95"/>
      <c r="K307" s="9"/>
      <c r="L307" s="95"/>
    </row>
    <row r="308" spans="1:12" x14ac:dyDescent="0.35">
      <c r="A308" s="24" t="str">
        <f>IF(Other_Population="","",IF(Effective_Other_DualTest_Freq="semestriel","Total Année 1",""))</f>
        <v/>
      </c>
      <c r="B308" s="105"/>
      <c r="C308" s="105"/>
      <c r="D308" s="105"/>
      <c r="E308" s="105"/>
      <c r="F308" s="106"/>
      <c r="G308" s="106"/>
      <c r="H308" s="107"/>
      <c r="I308" s="107"/>
      <c r="J308" s="107" t="str">
        <f>IF(Other_Population="","",IF(Effective_Other_DualTest_Freq="semestriel",J301+J302,""))</f>
        <v/>
      </c>
      <c r="K308" s="107"/>
      <c r="L308" s="107" t="str">
        <f>IF(Other_Population="","",IF(Effective_Other_DualTest_Freq="semestriel",L301+L302,""))</f>
        <v/>
      </c>
    </row>
    <row r="309" spans="1:12" x14ac:dyDescent="0.35">
      <c r="A309" s="24" t="str">
        <f>IF(Other_Population="","",IF(Effective_Other_DualTest_Freq="semestriel","Total Année 2",""))</f>
        <v/>
      </c>
      <c r="B309" s="105"/>
      <c r="C309" s="105"/>
      <c r="D309" s="105"/>
      <c r="E309" s="105"/>
      <c r="F309" s="106"/>
      <c r="G309" s="106"/>
      <c r="H309" s="107"/>
      <c r="I309" s="107"/>
      <c r="J309" s="107" t="str">
        <f>IF(Other_Population="","",IF(Effective_Other_DualTest_Freq="semestriel",J303+J304,""))</f>
        <v/>
      </c>
      <c r="K309" s="107"/>
      <c r="L309" s="107" t="str">
        <f>IF(Other_Population="","",IF(Effective_Other_DualTest_Freq="semestriel",L303+L304,""))</f>
        <v/>
      </c>
    </row>
    <row r="310" spans="1:12" x14ac:dyDescent="0.35">
      <c r="A310" s="24" t="str">
        <f>IF(Other_Population="","",IF(Effective_Other_DualTest_Freq="semestriel","Total Année 3",""))</f>
        <v/>
      </c>
      <c r="B310" s="105"/>
      <c r="C310" s="105"/>
      <c r="D310" s="105"/>
      <c r="E310" s="105"/>
      <c r="F310" s="106"/>
      <c r="G310" s="106"/>
      <c r="H310" s="107"/>
      <c r="I310" s="107"/>
      <c r="J310" s="107" t="str">
        <f>IF(Other_Population="","",IF(Effective_Other_DualTest_Freq="semestriel",J305+J306,""))</f>
        <v/>
      </c>
      <c r="K310" s="107"/>
      <c r="L310" s="107" t="str">
        <f>IF(Other_Population="","",IF(Effective_Other_DualTest_Freq="semestriel",L305+L306,""))</f>
        <v/>
      </c>
    </row>
    <row r="311" spans="1:12" x14ac:dyDescent="0.35">
      <c r="A311" s="9"/>
      <c r="B311" s="9"/>
      <c r="C311" s="9"/>
      <c r="D311" s="9"/>
      <c r="E311" s="9"/>
      <c r="F311" s="9"/>
      <c r="G311" s="9"/>
      <c r="H311" s="9"/>
      <c r="I311" s="9"/>
      <c r="J311" s="95"/>
      <c r="K311" s="9"/>
      <c r="L311" s="95"/>
    </row>
    <row r="312" spans="1:12" s="96" customFormat="1" ht="16" x14ac:dyDescent="0.4">
      <c r="A312" s="86" t="str">
        <f>IF(Other_Population="","",IF(Effective_Other_DualTest_Freq="semestriel","TOTAL SUR 3 ANS",""))</f>
        <v/>
      </c>
      <c r="B312" s="91"/>
      <c r="C312" s="91"/>
      <c r="D312" s="91"/>
      <c r="E312" s="91"/>
      <c r="F312" s="91"/>
      <c r="G312" s="91"/>
      <c r="H312" s="91"/>
      <c r="I312" s="91"/>
      <c r="J312" s="87" t="str">
        <f>IF(Other_Population="","",IF(Effective_Other_DualTest_Freq="semestriel",Calc_DualTests!J45,""))</f>
        <v/>
      </c>
      <c r="K312" s="91"/>
      <c r="L312" s="87" t="str">
        <f>IF(Other_Population="","",IF(Effective_Other_DualTest_Freq="semestriel",SUM(L308:L310),""))</f>
        <v/>
      </c>
    </row>
    <row r="313" spans="1:12" s="9" customFormat="1" x14ac:dyDescent="0.35">
      <c r="J313" s="95"/>
      <c r="L313" s="95"/>
    </row>
    <row r="314" spans="1:12" s="9" customFormat="1" x14ac:dyDescent="0.35">
      <c r="A314" s="163" t="s">
        <v>550</v>
      </c>
      <c r="J314" s="95"/>
      <c r="L314" s="95"/>
    </row>
    <row r="315" spans="1:12" ht="58" x14ac:dyDescent="0.35">
      <c r="A315" s="58" t="s">
        <v>537</v>
      </c>
      <c r="B315" s="58" t="s">
        <v>538</v>
      </c>
      <c r="C315" s="57" t="s">
        <v>572</v>
      </c>
      <c r="D315" s="57" t="s">
        <v>540</v>
      </c>
      <c r="E315" s="57" t="s">
        <v>573</v>
      </c>
      <c r="F315" s="57" t="s">
        <v>542</v>
      </c>
      <c r="G315" s="57" t="s">
        <v>543</v>
      </c>
      <c r="H315" s="57" t="s">
        <v>544</v>
      </c>
      <c r="I315" s="57" t="s">
        <v>545</v>
      </c>
      <c r="J315" s="57" t="s">
        <v>546</v>
      </c>
      <c r="K315" s="57" t="s">
        <v>547</v>
      </c>
      <c r="L315" s="57" t="s">
        <v>548</v>
      </c>
    </row>
    <row r="316" spans="1:12" x14ac:dyDescent="0.35">
      <c r="A316" s="93" t="str">
        <f>IF(Other_Population="","",IF(Effective_Other_DualTest_Freq="trimestriel","T1",""))</f>
        <v/>
      </c>
      <c r="B316" s="93" t="str">
        <f>IF(Other_Population="","",IF(Effective_Other_DualTest_Freq="trimestriel",1,""))</f>
        <v/>
      </c>
      <c r="C316" s="14" t="str">
        <f t="shared" ref="C316:C327" si="18">IF(Other_Population="","",IF(Effective_Other_DualTest_Freq="trimestriel",Other_Population/4,""))</f>
        <v/>
      </c>
      <c r="D316" s="93" t="str">
        <f>IF(Other_Population="","",IF(Effective_Other_DualTest_Freq="trimestriel",Other_Y1_Screening_Target,""))</f>
        <v/>
      </c>
      <c r="E316" s="14" t="str">
        <f>IF(Other_Population="","",IF(Effective_Other_DualTest_Freq="trimestriel",Calc_DualTests!E28,""))</f>
        <v/>
      </c>
      <c r="F316" s="14" t="str">
        <f>IF(Other_Population="","",IF(Effective_Other_DualTest_Freq="trimestriel",Calc_DualTests!F28,""))</f>
        <v/>
      </c>
      <c r="G316" s="14" t="str">
        <f>IF(Other_Population="","",IF(Effective_Other_DualTest_Freq="trimestriel",Calc_DualTests!G28,""))</f>
        <v/>
      </c>
      <c r="H316" s="14" t="str">
        <f>IF(Other_Population="","",IF(Effective_Other_DualTest_Freq="trimestriel",Calc_DualTests!S28,""))</f>
        <v/>
      </c>
      <c r="I316" s="14" t="str">
        <f>IF(Other_Population="","",IF(Effective_Other_DualTest_Freq="trimestriel",Calc_DualTests!I28,""))</f>
        <v/>
      </c>
      <c r="J316" s="94" t="str">
        <f>IF(Other_Population="","",IF(Effective_Other_DualTest_Freq="trimestriel",Calc_DualTests!J28,""))</f>
        <v/>
      </c>
      <c r="K316" s="93" t="str">
        <f t="shared" ref="K316:K327" si="19">IF(DualTest_Freq="trimestriel",DualTest_PackSize,"")</f>
        <v/>
      </c>
      <c r="L316" s="94" t="str">
        <f>IF(Other_Population="","",IF(Effective_Other_DualTest_Freq="trimestriel",IF(DualTest_PackSize="","Enter pack size",CEILING(Calc_DualTests!J28/DualTest_PackSize,1)),""))</f>
        <v/>
      </c>
    </row>
    <row r="317" spans="1:12" x14ac:dyDescent="0.35">
      <c r="A317" s="93" t="str">
        <f>IF(Other_Population="","",IF(Effective_Other_DualTest_Freq="trimestriel","T2",""))</f>
        <v/>
      </c>
      <c r="B317" s="93" t="str">
        <f>IF(Other_Population="","",IF(Effective_Other_DualTest_Freq="trimestriel",1,""))</f>
        <v/>
      </c>
      <c r="C317" s="14" t="str">
        <f t="shared" si="18"/>
        <v/>
      </c>
      <c r="D317" s="93" t="str">
        <f>IF(Other_Population="","",IF(Effective_Other_DualTest_Freq="trimestriel",Other_Y1_Screening_Target,""))</f>
        <v/>
      </c>
      <c r="E317" s="14" t="str">
        <f>IF(Other_Population="","",IF(Effective_Other_DualTest_Freq="trimestriel",Calc_DualTests!E29,""))</f>
        <v/>
      </c>
      <c r="F317" s="14" t="str">
        <f>IF(Other_Population="","",IF(Effective_Other_DualTest_Freq="trimestriel",Calc_DualTests!F29,""))</f>
        <v/>
      </c>
      <c r="G317" s="14" t="str">
        <f>IF(Other_Population="","",IF(Effective_Other_DualTest_Freq="trimestriel",Calc_DualTests!G29,""))</f>
        <v/>
      </c>
      <c r="H317" s="14" t="str">
        <f>IF(Other_Population="","",IF(Effective_Other_DualTest_Freq="trimestriel",Calc_DualTests!S29,""))</f>
        <v/>
      </c>
      <c r="I317" s="14" t="str">
        <f>IF(Other_Population="","",IF(Effective_Other_DualTest_Freq="trimestriel",Calc_DualTests!I29,""))</f>
        <v/>
      </c>
      <c r="J317" s="94" t="str">
        <f>IF(Other_Population="","",IF(Effective_Other_DualTest_Freq="trimestriel",Calc_DualTests!J29,""))</f>
        <v/>
      </c>
      <c r="K317" s="93" t="str">
        <f t="shared" si="19"/>
        <v/>
      </c>
      <c r="L317" s="94" t="str">
        <f>IF(Other_Population="","",IF(Effective_Other_DualTest_Freq="trimestriel",IF(DualTest_PackSize="","Enter pack size",CEILING(Calc_DualTests!J29/DualTest_PackSize,1)),""))</f>
        <v/>
      </c>
    </row>
    <row r="318" spans="1:12" x14ac:dyDescent="0.35">
      <c r="A318" s="93" t="str">
        <f>IF(Other_Population="","",IF(Effective_Other_DualTest_Freq="trimestriel","T3",""))</f>
        <v/>
      </c>
      <c r="B318" s="93" t="str">
        <f>IF(Other_Population="","",IF(Effective_Other_DualTest_Freq="trimestriel",1,""))</f>
        <v/>
      </c>
      <c r="C318" s="14" t="str">
        <f t="shared" si="18"/>
        <v/>
      </c>
      <c r="D318" s="93" t="str">
        <f>IF(Other_Population="","",IF(Effective_Other_DualTest_Freq="trimestriel",Other_Y1_Screening_Target,""))</f>
        <v/>
      </c>
      <c r="E318" s="14" t="str">
        <f>IF(Other_Population="","",IF(Effective_Other_DualTest_Freq="trimestriel",Calc_DualTests!E30,""))</f>
        <v/>
      </c>
      <c r="F318" s="14" t="str">
        <f>IF(Other_Population="","",IF(Effective_Other_DualTest_Freq="trimestriel",Calc_DualTests!F30,""))</f>
        <v/>
      </c>
      <c r="G318" s="14" t="str">
        <f>IF(Other_Population="","",IF(Effective_Other_DualTest_Freq="trimestriel",Calc_DualTests!G30,""))</f>
        <v/>
      </c>
      <c r="H318" s="14" t="str">
        <f>IF(Other_Population="","",IF(Effective_Other_DualTest_Freq="trimestriel",Calc_DualTests!H30,""))</f>
        <v/>
      </c>
      <c r="I318" s="14" t="str">
        <f>IF(Other_Population="","",IF(Effective_Other_DualTest_Freq="trimestriel",Calc_DualTests!I30,""))</f>
        <v/>
      </c>
      <c r="J318" s="94" t="str">
        <f>IF(Other_Population="","",IF(Effective_Other_DualTest_Freq="trimestriel",Calc_DualTests!J30,""))</f>
        <v/>
      </c>
      <c r="K318" s="93" t="str">
        <f t="shared" si="19"/>
        <v/>
      </c>
      <c r="L318" s="94" t="str">
        <f>IF(Other_Population="","",IF(Effective_Other_DualTest_Freq="trimestriel",IF(DualTest_PackSize="","Enter pack size",CEILING(Calc_DualTests!J30/DualTest_PackSize,1)),""))</f>
        <v/>
      </c>
    </row>
    <row r="319" spans="1:12" x14ac:dyDescent="0.35">
      <c r="A319" s="93" t="str">
        <f>IF(Other_Population="","",IF(Effective_Other_DualTest_Freq="trimestriel","T4",""))</f>
        <v/>
      </c>
      <c r="B319" s="93" t="str">
        <f>IF(Other_Population="","",IF(Effective_Other_DualTest_Freq="trimestriel",1,""))</f>
        <v/>
      </c>
      <c r="C319" s="14" t="str">
        <f t="shared" si="18"/>
        <v/>
      </c>
      <c r="D319" s="93" t="str">
        <f>IF(Other_Population="","",IF(Effective_Other_DualTest_Freq="trimestriel",Other_Y1_Screening_Target,""))</f>
        <v/>
      </c>
      <c r="E319" s="14" t="str">
        <f>IF(Other_Population="","",IF(Effective_Other_DualTest_Freq="trimestriel",Calc_DualTests!E31,""))</f>
        <v/>
      </c>
      <c r="F319" s="14" t="str">
        <f>IF(Other_Population="","",IF(Effective_Other_DualTest_Freq="trimestriel",Calc_DualTests!F31,""))</f>
        <v/>
      </c>
      <c r="G319" s="14" t="str">
        <f>IF(Other_Population="","",IF(Effective_Other_DualTest_Freq="trimestriel",Calc_DualTests!G31,""))</f>
        <v/>
      </c>
      <c r="H319" s="14" t="str">
        <f>IF(Other_Population="","",IF(Effective_Other_DualTest_Freq="trimestriel",Calc_DualTests!H31,""))</f>
        <v/>
      </c>
      <c r="I319" s="14" t="str">
        <f>IF(Other_Population="","",IF(Effective_Other_DualTest_Freq="trimestriel",Calc_DualTests!I31,""))</f>
        <v/>
      </c>
      <c r="J319" s="94" t="str">
        <f>IF(Other_Population="","",IF(Effective_Other_DualTest_Freq="trimestriel",Calc_DualTests!J31,""))</f>
        <v/>
      </c>
      <c r="K319" s="93" t="str">
        <f t="shared" si="19"/>
        <v/>
      </c>
      <c r="L319" s="94" t="str">
        <f>IF(Other_Population="","",IF(Effective_Other_DualTest_Freq="trimestriel",IF(DualTest_PackSize="","Enter pack size",CEILING(Calc_DualTests!J31/DualTest_PackSize,1)),""))</f>
        <v/>
      </c>
    </row>
    <row r="320" spans="1:12" x14ac:dyDescent="0.35">
      <c r="A320" s="93" t="str">
        <f>IF(Other_Population="","",IF(Effective_Other_DualTest_Freq="trimestriel","T1",""))</f>
        <v/>
      </c>
      <c r="B320" s="93" t="str">
        <f>IF(Other_Population="","",IF(Effective_Other_DualTest_Freq="trimestriel",2,""))</f>
        <v/>
      </c>
      <c r="C320" s="14" t="str">
        <f t="shared" si="18"/>
        <v/>
      </c>
      <c r="D320" s="93" t="str">
        <f>IF(Other_Population="","",IF(Effective_Other_DualTest_Freq="trimestriel",Other_Y2_Screening_Target,""))</f>
        <v/>
      </c>
      <c r="E320" s="14" t="str">
        <f>IF(Other_Population="","",IF(Effective_Other_DualTest_Freq="trimestriel",Calc_DualTests!E32,""))</f>
        <v/>
      </c>
      <c r="F320" s="14" t="str">
        <f>IF(Other_Population="","",IF(Effective_Other_DualTest_Freq="trimestriel",Calc_DualTests!F32,""))</f>
        <v/>
      </c>
      <c r="G320" s="14" t="str">
        <f>IF(Other_Population="","",IF(Effective_Other_DualTest_Freq="trimestriel",Calc_DualTests!G32,""))</f>
        <v/>
      </c>
      <c r="H320" s="14" t="str">
        <f>IF(Other_Population="","",IF(Effective_Other_DualTest_Freq="trimestriel",Calc_DualTests!H32,""))</f>
        <v/>
      </c>
      <c r="I320" s="14" t="str">
        <f>IF(Other_Population="","",IF(Effective_Other_DualTest_Freq="trimestriel",Calc_DualTests!I32,""))</f>
        <v/>
      </c>
      <c r="J320" s="94" t="str">
        <f>IF(Other_Population="","",IF(Effective_Other_DualTest_Freq="trimestriel",Calc_DualTests!J32,""))</f>
        <v/>
      </c>
      <c r="K320" s="93" t="str">
        <f t="shared" si="19"/>
        <v/>
      </c>
      <c r="L320" s="94" t="str">
        <f>IF(Other_Population="","",IF(Effective_Other_DualTest_Freq="trimestriel",IF(DualTest_PackSize="","Enter pack size",CEILING(Calc_DualTests!J32/DualTest_PackSize,1)),""))</f>
        <v/>
      </c>
    </row>
    <row r="321" spans="1:12" x14ac:dyDescent="0.35">
      <c r="A321" s="93" t="str">
        <f>IF(Other_Population="","",IF(Effective_Other_DualTest_Freq="trimestriel","T2",""))</f>
        <v/>
      </c>
      <c r="B321" s="93" t="str">
        <f>IF(Other_Population="","",IF(Effective_Other_DualTest_Freq="trimestriel",2,""))</f>
        <v/>
      </c>
      <c r="C321" s="14" t="str">
        <f t="shared" si="18"/>
        <v/>
      </c>
      <c r="D321" s="93" t="str">
        <f>IF(Other_Population="","",IF(Effective_Other_DualTest_Freq="trimestriel",Other_Y2_Screening_Target,""))</f>
        <v/>
      </c>
      <c r="E321" s="14" t="str">
        <f>IF(Other_Population="","",IF(Effective_Other_DualTest_Freq="trimestriel",Calc_DualTests!E33,""))</f>
        <v/>
      </c>
      <c r="F321" s="14" t="str">
        <f>IF(Other_Population="","",IF(Effective_Other_DualTest_Freq="trimestriel",Calc_DualTests!F33,""))</f>
        <v/>
      </c>
      <c r="G321" s="14" t="str">
        <f>IF(Other_Population="","",IF(Effective_Other_DualTest_Freq="trimestriel",Calc_DualTests!G33,""))</f>
        <v/>
      </c>
      <c r="H321" s="14" t="str">
        <f>IF(Other_Population="","",IF(Effective_Other_DualTest_Freq="trimestriel",Calc_DualTests!H33,""))</f>
        <v/>
      </c>
      <c r="I321" s="14" t="str">
        <f>IF(Other_Population="","",IF(Effective_Other_DualTest_Freq="trimestriel",Calc_DualTests!I33,""))</f>
        <v/>
      </c>
      <c r="J321" s="94" t="str">
        <f>IF(Other_Population="","",IF(Effective_Other_DualTest_Freq="trimestriel",Calc_DualTests!J33,""))</f>
        <v/>
      </c>
      <c r="K321" s="93" t="str">
        <f t="shared" si="19"/>
        <v/>
      </c>
      <c r="L321" s="94" t="str">
        <f>IF(Other_Population="","",IF(Effective_Other_DualTest_Freq="trimestriel",IF(DualTest_PackSize="","Enter pack size",CEILING(Calc_DualTests!J33/DualTest_PackSize,1)),""))</f>
        <v/>
      </c>
    </row>
    <row r="322" spans="1:12" x14ac:dyDescent="0.35">
      <c r="A322" s="93" t="str">
        <f>IF(Other_Population="","",IF(Effective_Other_DualTest_Freq="trimestriel","T3",""))</f>
        <v/>
      </c>
      <c r="B322" s="93" t="str">
        <f>IF(Other_Population="","",IF(Effective_Other_DualTest_Freq="trimestriel",2,""))</f>
        <v/>
      </c>
      <c r="C322" s="14" t="str">
        <f t="shared" si="18"/>
        <v/>
      </c>
      <c r="D322" s="93" t="str">
        <f>IF(Other_Population="","",IF(Effective_Other_DualTest_Freq="trimestriel",Other_Y2_Screening_Target,""))</f>
        <v/>
      </c>
      <c r="E322" s="14" t="str">
        <f>IF(Other_Population="","",IF(Effective_Other_DualTest_Freq="trimestriel",Calc_DualTests!E34,""))</f>
        <v/>
      </c>
      <c r="F322" s="14" t="str">
        <f>IF(Other_Population="","",IF(Effective_Other_DualTest_Freq="trimestriel",Calc_DualTests!F34,""))</f>
        <v/>
      </c>
      <c r="G322" s="14" t="str">
        <f>IF(Other_Population="","",IF(Effective_Other_DualTest_Freq="trimestriel",Calc_DualTests!G34,""))</f>
        <v/>
      </c>
      <c r="H322" s="14" t="str">
        <f>IF(Other_Population="","",IF(Effective_Other_DualTest_Freq="trimestriel",Calc_DualTests!H34,""))</f>
        <v/>
      </c>
      <c r="I322" s="14" t="str">
        <f>IF(Other_Population="","",IF(Effective_Other_DualTest_Freq="trimestriel",Calc_DualTests!I34,""))</f>
        <v/>
      </c>
      <c r="J322" s="94" t="str">
        <f>IF(Other_Population="","",IF(Effective_Other_DualTest_Freq="trimestriel",Calc_DualTests!J34,""))</f>
        <v/>
      </c>
      <c r="K322" s="93" t="str">
        <f t="shared" si="19"/>
        <v/>
      </c>
      <c r="L322" s="94" t="str">
        <f>IF(Other_Population="","",IF(Effective_Other_DualTest_Freq="trimestriel",IF(DualTest_PackSize="","Enter pack size",CEILING(Calc_DualTests!J34/DualTest_PackSize,1)),""))</f>
        <v/>
      </c>
    </row>
    <row r="323" spans="1:12" x14ac:dyDescent="0.35">
      <c r="A323" s="93" t="str">
        <f>IF(Other_Population="","",IF(Effective_Other_DualTest_Freq="trimestriel","T4",""))</f>
        <v/>
      </c>
      <c r="B323" s="93" t="str">
        <f>IF(Other_Population="","",IF(Effective_Other_DualTest_Freq="trimestriel",2,""))</f>
        <v/>
      </c>
      <c r="C323" s="14" t="str">
        <f t="shared" si="18"/>
        <v/>
      </c>
      <c r="D323" s="93" t="str">
        <f>IF(Other_Population="","",IF(Effective_Other_DualTest_Freq="trimestriel",Other_Y2_Screening_Target,""))</f>
        <v/>
      </c>
      <c r="E323" s="14" t="str">
        <f>IF(Other_Population="","",IF(Effective_Other_DualTest_Freq="trimestriel",Calc_DualTests!E35,""))</f>
        <v/>
      </c>
      <c r="F323" s="14" t="str">
        <f>IF(Other_Population="","",IF(Effective_Other_DualTest_Freq="trimestriel",Calc_DualTests!F35,""))</f>
        <v/>
      </c>
      <c r="G323" s="14" t="str">
        <f>IF(Other_Population="","",IF(Effective_Other_DualTest_Freq="trimestriel",Calc_DualTests!G35,""))</f>
        <v/>
      </c>
      <c r="H323" s="14" t="str">
        <f>IF(Other_Population="","",IF(Effective_Other_DualTest_Freq="trimestriel",Calc_DualTests!H35,""))</f>
        <v/>
      </c>
      <c r="I323" s="14" t="str">
        <f>IF(Other_Population="","",IF(Effective_Other_DualTest_Freq="trimestriel",Calc_DualTests!I35,""))</f>
        <v/>
      </c>
      <c r="J323" s="94" t="str">
        <f>IF(Other_Population="","",IF(Effective_Other_DualTest_Freq="trimestriel",Calc_DualTests!J35,""))</f>
        <v/>
      </c>
      <c r="K323" s="93" t="str">
        <f t="shared" si="19"/>
        <v/>
      </c>
      <c r="L323" s="94" t="str">
        <f>IF(Other_Population="","",IF(Effective_Other_DualTest_Freq="trimestriel",IF(DualTest_PackSize="","Enter pack size",CEILING(Calc_DualTests!J35/DualTest_PackSize,1)),""))</f>
        <v/>
      </c>
    </row>
    <row r="324" spans="1:12" x14ac:dyDescent="0.35">
      <c r="A324" s="93" t="str">
        <f>IF(Other_Population="","",IF(Effective_Other_DualTest_Freq="trimestriel","T1",""))</f>
        <v/>
      </c>
      <c r="B324" s="93" t="str">
        <f>IF(Other_Population="","",IF(Effective_Other_DualTest_Freq="trimestriel",3,""))</f>
        <v/>
      </c>
      <c r="C324" s="14" t="str">
        <f t="shared" si="18"/>
        <v/>
      </c>
      <c r="D324" s="93" t="str">
        <f>IF(Other_Population="","",IF(Effective_Other_DualTest_Freq="trimestriel",Other_Y3_Screening_Target,""))</f>
        <v/>
      </c>
      <c r="E324" s="14" t="str">
        <f>IF(Other_Population="","",IF(Effective_Other_DualTest_Freq="trimestriel",Calc_DualTests!E36,""))</f>
        <v/>
      </c>
      <c r="F324" s="14" t="str">
        <f>IF(Other_Population="","",IF(Effective_Other_DualTest_Freq="trimestriel",Calc_DualTests!F36,""))</f>
        <v/>
      </c>
      <c r="G324" s="14" t="str">
        <f>IF(Other_Population="","",IF(Effective_Other_DualTest_Freq="trimestriel",Calc_DualTests!G36,""))</f>
        <v/>
      </c>
      <c r="H324" s="14" t="str">
        <f>IF(Other_Population="","",IF(Effective_Other_DualTest_Freq="trimestriel",Calc_DualTests!H36,""))</f>
        <v/>
      </c>
      <c r="I324" s="14" t="str">
        <f>IF(Other_Population="","",IF(Effective_Other_DualTest_Freq="trimestriel",Calc_DualTests!I36,""))</f>
        <v/>
      </c>
      <c r="J324" s="94" t="str">
        <f>IF(Other_Population="","",IF(Effective_Other_DualTest_Freq="trimestriel",Calc_DualTests!J36,""))</f>
        <v/>
      </c>
      <c r="K324" s="93" t="str">
        <f t="shared" si="19"/>
        <v/>
      </c>
      <c r="L324" s="94" t="str">
        <f>IF(Other_Population="","",IF(Effective_Other_DualTest_Freq="trimestriel",IF(DualTest_PackSize="","Enter pack size",CEILING(Calc_DualTests!J36/DualTest_PackSize,1)),""))</f>
        <v/>
      </c>
    </row>
    <row r="325" spans="1:12" x14ac:dyDescent="0.35">
      <c r="A325" s="93" t="str">
        <f>IF(Other_Population="","",IF(Effective_Other_DualTest_Freq="trimestriel","T2",""))</f>
        <v/>
      </c>
      <c r="B325" s="93" t="str">
        <f>IF(Other_Population="","",IF(Effective_Other_DualTest_Freq="trimestriel",3,""))</f>
        <v/>
      </c>
      <c r="C325" s="14" t="str">
        <f t="shared" si="18"/>
        <v/>
      </c>
      <c r="D325" s="93" t="str">
        <f>IF(Other_Population="","",IF(Effective_Other_DualTest_Freq="trimestriel",Other_Y3_Screening_Target,""))</f>
        <v/>
      </c>
      <c r="E325" s="14" t="str">
        <f>IF(Other_Population="","",IF(Effective_Other_DualTest_Freq="trimestriel",Calc_DualTests!E37,""))</f>
        <v/>
      </c>
      <c r="F325" s="14" t="str">
        <f>IF(Other_Population="","",IF(Effective_Other_DualTest_Freq="trimestriel",Calc_DualTests!F37,""))</f>
        <v/>
      </c>
      <c r="G325" s="14" t="str">
        <f>IF(Other_Population="","",IF(Effective_Other_DualTest_Freq="trimestriel",Calc_DualTests!G37,""))</f>
        <v/>
      </c>
      <c r="H325" s="14" t="str">
        <f>IF(Other_Population="","",IF(Effective_Other_DualTest_Freq="trimestriel",Calc_DualTests!H37,""))</f>
        <v/>
      </c>
      <c r="I325" s="14" t="str">
        <f>IF(Other_Population="","",IF(Effective_Other_DualTest_Freq="trimestriel",Calc_DualTests!I37,""))</f>
        <v/>
      </c>
      <c r="J325" s="94" t="str">
        <f>IF(Other_Population="","",IF(Effective_Other_DualTest_Freq="trimestriel",Calc_DualTests!J37,""))</f>
        <v/>
      </c>
      <c r="K325" s="93" t="str">
        <f t="shared" si="19"/>
        <v/>
      </c>
      <c r="L325" s="94" t="str">
        <f>IF(Other_Population="","",IF(Effective_Other_DualTest_Freq="trimestriel",IF(DualTest_PackSize="","Enter pack size",CEILING(Calc_DualTests!J37/DualTest_PackSize,1)),""))</f>
        <v/>
      </c>
    </row>
    <row r="326" spans="1:12" x14ac:dyDescent="0.35">
      <c r="A326" s="93" t="str">
        <f>IF(Other_Population="","",IF(Effective_Other_DualTest_Freq="trimestriel","T3",""))</f>
        <v/>
      </c>
      <c r="B326" s="93" t="str">
        <f>IF(Other_Population="","",IF(Effective_Other_DualTest_Freq="trimestriel",3,""))</f>
        <v/>
      </c>
      <c r="C326" s="14" t="str">
        <f t="shared" si="18"/>
        <v/>
      </c>
      <c r="D326" s="93" t="str">
        <f>IF(Other_Population="","",IF(Effective_Other_DualTest_Freq="trimestriel",Other_Y3_Screening_Target,""))</f>
        <v/>
      </c>
      <c r="E326" s="14" t="str">
        <f>IF(Other_Population="","",IF(Effective_Other_DualTest_Freq="trimestriel",Calc_DualTests!E38,""))</f>
        <v/>
      </c>
      <c r="F326" s="14" t="str">
        <f>IF(Other_Population="","",IF(Effective_Other_DualTest_Freq="trimestriel",Calc_DualTests!F38,""))</f>
        <v/>
      </c>
      <c r="G326" s="14" t="str">
        <f>IF(Other_Population="","",IF(Effective_Other_DualTest_Freq="trimestriel",Calc_DualTests!G38,""))</f>
        <v/>
      </c>
      <c r="H326" s="14" t="str">
        <f>IF(Other_Population="","",IF(Effective_Other_DualTest_Freq="trimestriel",Calc_DualTests!H38,""))</f>
        <v/>
      </c>
      <c r="I326" s="14" t="str">
        <f>IF(Other_Population="","",IF(Effective_Other_DualTest_Freq="trimestriel",Calc_DualTests!I38,""))</f>
        <v/>
      </c>
      <c r="J326" s="94" t="str">
        <f>IF(Other_Population="","",IF(Effective_Other_DualTest_Freq="trimestriel",Calc_DualTests!J38,""))</f>
        <v/>
      </c>
      <c r="K326" s="93" t="str">
        <f t="shared" si="19"/>
        <v/>
      </c>
      <c r="L326" s="94" t="str">
        <f>IF(Other_Population="","",IF(Effective_Other_DualTest_Freq="trimestriel",IF(DualTest_PackSize="","Enter pack size",CEILING(Calc_DualTests!J38/DualTest_PackSize,1)),""))</f>
        <v/>
      </c>
    </row>
    <row r="327" spans="1:12" x14ac:dyDescent="0.35">
      <c r="A327" s="93" t="str">
        <f>IF(Other_Population="","",IF(Effective_Other_DualTest_Freq="trimestriel","T4",""))</f>
        <v/>
      </c>
      <c r="B327" s="93" t="str">
        <f>IF(Other_Population="","",IF(Effective_Other_DualTest_Freq="trimestriel",3,""))</f>
        <v/>
      </c>
      <c r="C327" s="14" t="str">
        <f t="shared" si="18"/>
        <v/>
      </c>
      <c r="D327" s="93" t="str">
        <f>IF(Other_Population="","",IF(Effective_Other_DualTest_Freq="trimestriel",Other_Y3_Screening_Target,""))</f>
        <v/>
      </c>
      <c r="E327" s="14" t="str">
        <f>IF(Other_Population="","",IF(Effective_Other_DualTest_Freq="trimestriel",Calc_DualTests!E39,""))</f>
        <v/>
      </c>
      <c r="F327" s="14" t="str">
        <f>IF(Other_Population="","",IF(Effective_Other_DualTest_Freq="trimestriel",Calc_DualTests!F39,""))</f>
        <v/>
      </c>
      <c r="G327" s="14" t="str">
        <f>IF(Other_Population="","",IF(Effective_Other_DualTest_Freq="trimestriel",Calc_DualTests!G39,""))</f>
        <v/>
      </c>
      <c r="H327" s="14" t="str">
        <f>IF(Other_Population="","",IF(Effective_Other_DualTest_Freq="trimestriel",Calc_DualTests!H39,""))</f>
        <v/>
      </c>
      <c r="I327" s="14" t="str">
        <f>IF(Other_Population="","",IF(Effective_Other_DualTest_Freq="trimestriel",Calc_DualTests!I39,""))</f>
        <v/>
      </c>
      <c r="J327" s="94" t="str">
        <f>IF(Other_Population="","",IF(Effective_Other_DualTest_Freq="trimestriel",Calc_DualTests!J39,""))</f>
        <v/>
      </c>
      <c r="K327" s="93" t="str">
        <f t="shared" si="19"/>
        <v/>
      </c>
      <c r="L327" s="94" t="str">
        <f>IF(Other_Population="","",IF(Effective_Other_DualTest_Freq="trimestriel",IF(DualTest_PackSize="","Enter pack size",CEILING(Calc_DualTests!J39/DualTest_PackSize,1)),""))</f>
        <v/>
      </c>
    </row>
    <row r="328" spans="1:12" x14ac:dyDescent="0.35">
      <c r="A328" s="9"/>
      <c r="B328" s="9"/>
      <c r="C328" s="48"/>
      <c r="D328" s="9"/>
      <c r="E328" s="48"/>
      <c r="F328" s="48"/>
      <c r="G328" s="48"/>
      <c r="H328" s="48"/>
      <c r="I328" s="48"/>
      <c r="J328" s="95"/>
      <c r="K328" s="9"/>
      <c r="L328" s="95"/>
    </row>
    <row r="329" spans="1:12" x14ac:dyDescent="0.35">
      <c r="A329" s="24" t="str">
        <f>IF(Other_Population="","",IF(Effective_Other_DualTest_Freq="trimestriel","Total Année 1",""))</f>
        <v/>
      </c>
      <c r="B329" s="105"/>
      <c r="C329" s="105"/>
      <c r="D329" s="105"/>
      <c r="E329" s="105"/>
      <c r="F329" s="106"/>
      <c r="G329" s="106"/>
      <c r="H329" s="107"/>
      <c r="I329" s="107"/>
      <c r="J329" s="107" t="str">
        <f>IF(Other_Population="","",IF(Effective_Other_DualTest_Freq="trimestriel",Calc_DualTests!J41,""))</f>
        <v/>
      </c>
      <c r="K329" s="107"/>
      <c r="L329" s="107" t="str">
        <f>IF(Other_Population="","",IF(Effective_Other_DualTest_Freq="trimestriel",SUM(L316:L319),""))</f>
        <v/>
      </c>
    </row>
    <row r="330" spans="1:12" x14ac:dyDescent="0.35">
      <c r="A330" s="24" t="str">
        <f>IF(Other_Population="","",IF(Effective_Other_DualTest_Freq="trimestriel","Total Année 2",""))</f>
        <v/>
      </c>
      <c r="B330" s="105"/>
      <c r="C330" s="105"/>
      <c r="D330" s="105"/>
      <c r="E330" s="105"/>
      <c r="F330" s="106"/>
      <c r="G330" s="106"/>
      <c r="H330" s="107"/>
      <c r="I330" s="107"/>
      <c r="J330" s="107" t="str">
        <f>IF(Other_Population="","",IF(Effective_Other_DualTest_Freq="trimestriel",Calc_DualTests!J42,""))</f>
        <v/>
      </c>
      <c r="K330" s="107"/>
      <c r="L330" s="107" t="str">
        <f>IF(Other_Population="","",IF(Effective_Other_DualTest_Freq="trimestriel",SUM(L320:L323),""))</f>
        <v/>
      </c>
    </row>
    <row r="331" spans="1:12" x14ac:dyDescent="0.35">
      <c r="A331" s="24" t="str">
        <f>IF(Other_Population="","",IF(Effective_Other_DualTest_Freq="trimestriel","Total Année 3",""))</f>
        <v/>
      </c>
      <c r="B331" s="105"/>
      <c r="C331" s="105"/>
      <c r="D331" s="105"/>
      <c r="E331" s="105"/>
      <c r="F331" s="106"/>
      <c r="G331" s="106"/>
      <c r="H331" s="107"/>
      <c r="I331" s="107"/>
      <c r="J331" s="107" t="str">
        <f>IF(Other_Population="","",IF(Effective_Other_DualTest_Freq="trimestriel",Calc_DualTests!J43,""))</f>
        <v/>
      </c>
      <c r="K331" s="107"/>
      <c r="L331" s="107" t="str">
        <f>IF(Other_Population="","",IF(Effective_Other_DualTest_Freq="trimestriel",SUM(L324:L327),""))</f>
        <v/>
      </c>
    </row>
    <row r="332" spans="1:12" x14ac:dyDescent="0.35">
      <c r="A332" s="9"/>
      <c r="B332" s="9"/>
      <c r="C332" s="9"/>
      <c r="D332" s="9"/>
      <c r="E332" s="9"/>
      <c r="F332" s="9"/>
      <c r="G332" s="9"/>
      <c r="H332" s="9"/>
      <c r="I332" s="9"/>
      <c r="J332" s="95"/>
      <c r="K332" s="9"/>
      <c r="L332" s="95"/>
    </row>
    <row r="333" spans="1:12" s="96" customFormat="1" ht="16" x14ac:dyDescent="0.4">
      <c r="A333" s="86" t="str">
        <f>IF(Other_Population="","",IF(Effective_Other_DualTest_Freq="trimestriel","TOTAL SUR 3 ANS",""))</f>
        <v/>
      </c>
      <c r="B333" s="91"/>
      <c r="C333" s="91"/>
      <c r="D333" s="91"/>
      <c r="E333" s="91"/>
      <c r="F333" s="91"/>
      <c r="G333" s="91"/>
      <c r="H333" s="91"/>
      <c r="I333" s="91"/>
      <c r="J333" s="87" t="str">
        <f>IF(Other_Population="","",IF(Effective_Other_DualTest_Freq="trimestriel",Calc_DualTests!J45,""))</f>
        <v/>
      </c>
      <c r="K333" s="91"/>
      <c r="L333" s="87" t="str">
        <f>IF(Other_Population="","",IF(Effective_Other_DualTest_Freq="trimestriel",SUM(L329:L331),""))</f>
        <v/>
      </c>
    </row>
    <row r="334" spans="1:12" x14ac:dyDescent="0.35">
      <c r="A334" s="9"/>
      <c r="B334" s="9"/>
      <c r="C334" s="48"/>
      <c r="D334" s="9"/>
      <c r="E334" s="48"/>
      <c r="F334" s="48"/>
      <c r="G334" s="48"/>
      <c r="H334" s="48"/>
      <c r="I334" s="48"/>
      <c r="J334" s="95"/>
      <c r="K334" s="9"/>
      <c r="L334" s="95"/>
    </row>
    <row r="335" spans="1:12" x14ac:dyDescent="0.35">
      <c r="A335" s="97" t="s">
        <v>66</v>
      </c>
      <c r="B335" s="98" t="str">
        <f>IF(Other_Population="","",IF(Effective_Other_DualTest_Freq="Annuel",L293,IF(Effective_Other_DualTest_Freq="semestriel",L308,IF(Effective_Other_DualTest_Freq="trimestriel",L329,""))))</f>
        <v/>
      </c>
      <c r="C335" s="48"/>
      <c r="D335" s="9"/>
      <c r="E335" s="48"/>
      <c r="F335" s="48"/>
      <c r="G335" s="48"/>
      <c r="H335" s="48"/>
      <c r="I335" s="48"/>
      <c r="J335" s="95"/>
      <c r="K335" s="9"/>
      <c r="L335" s="95"/>
    </row>
    <row r="336" spans="1:12" x14ac:dyDescent="0.35">
      <c r="A336" s="97" t="s">
        <v>67</v>
      </c>
      <c r="B336" s="98" t="str">
        <f>IF(Other_Population="","",IF(Effective_Other_DualTest_Freq="Annuel",L294,IF(Effective_Other_DualTest_Freq="semestriel",L309,IF(Effective_Other_DualTest_Freq="trimestriel",L330,""))))</f>
        <v/>
      </c>
      <c r="C336" s="48"/>
      <c r="D336" s="9"/>
      <c r="E336" s="48"/>
      <c r="F336" s="48"/>
      <c r="G336" s="48"/>
      <c r="H336" s="48"/>
      <c r="I336" s="48"/>
      <c r="J336" s="95"/>
      <c r="K336" s="9"/>
      <c r="L336" s="95"/>
    </row>
    <row r="337" spans="1:13" x14ac:dyDescent="0.35">
      <c r="A337" s="97" t="s">
        <v>68</v>
      </c>
      <c r="B337" s="98" t="str">
        <f>IF(Other_Population="","",IF(Effective_Other_DualTest_Freq="Annuel",L295,IF(Effective_Other_DualTest_Freq="semestriel",L310,IF(Effective_Other_DualTest_Freq="trimestriel",L331,""))))</f>
        <v/>
      </c>
      <c r="C337" s="48"/>
      <c r="D337" s="9"/>
      <c r="E337" s="48"/>
      <c r="F337" s="48"/>
      <c r="G337" s="48"/>
      <c r="H337" s="48"/>
      <c r="I337" s="48"/>
      <c r="J337" s="95"/>
      <c r="K337" s="9"/>
      <c r="L337" s="95"/>
    </row>
    <row r="338" spans="1:13" x14ac:dyDescent="0.35">
      <c r="A338" s="97" t="s">
        <v>69</v>
      </c>
      <c r="B338" s="98" t="str">
        <f>IFERROR(B335+B336+B337,"")</f>
        <v/>
      </c>
      <c r="C338" s="48"/>
      <c r="D338" s="9"/>
      <c r="E338" s="48"/>
      <c r="F338" s="48"/>
      <c r="G338" s="48"/>
      <c r="H338" s="48"/>
      <c r="I338" s="48"/>
      <c r="J338" s="95"/>
      <c r="K338" s="9"/>
      <c r="L338" s="95"/>
    </row>
    <row r="339" spans="1:13" ht="15" thickBot="1" x14ac:dyDescent="0.4"/>
    <row r="340" spans="1:13" ht="16.5" thickBot="1" x14ac:dyDescent="0.45">
      <c r="A340" s="377" t="s">
        <v>574</v>
      </c>
      <c r="B340" s="378"/>
      <c r="C340" s="378"/>
      <c r="D340" s="378"/>
      <c r="E340" s="378"/>
      <c r="F340" s="378"/>
      <c r="G340" s="378"/>
      <c r="H340" s="378"/>
      <c r="I340" s="378"/>
      <c r="J340" s="378"/>
      <c r="K340" s="378"/>
      <c r="L340" s="378"/>
      <c r="M340" s="379"/>
    </row>
    <row r="342" spans="1:13" x14ac:dyDescent="0.35">
      <c r="A342" s="163" t="s">
        <v>536</v>
      </c>
    </row>
    <row r="343" spans="1:13" ht="58" x14ac:dyDescent="0.35">
      <c r="A343" s="58" t="s">
        <v>537</v>
      </c>
      <c r="B343" s="58" t="s">
        <v>538</v>
      </c>
      <c r="C343" s="57" t="s">
        <v>572</v>
      </c>
      <c r="D343" s="57" t="s">
        <v>540</v>
      </c>
      <c r="E343" s="57" t="s">
        <v>573</v>
      </c>
      <c r="F343" s="57" t="s">
        <v>542</v>
      </c>
      <c r="G343" s="57" t="s">
        <v>543</v>
      </c>
      <c r="H343" s="57" t="s">
        <v>544</v>
      </c>
      <c r="I343" s="57" t="s">
        <v>545</v>
      </c>
      <c r="J343" s="57" t="s">
        <v>546</v>
      </c>
      <c r="K343" s="57" t="s">
        <v>547</v>
      </c>
      <c r="L343" s="57" t="s">
        <v>548</v>
      </c>
    </row>
    <row r="344" spans="1:13" x14ac:dyDescent="0.35">
      <c r="A344" s="36" t="str">
        <f>IF(HBV_Other_Population="","",IF(Effective_Other_HBsAg_Freq="Annuel","Année 1",""))</f>
        <v/>
      </c>
      <c r="B344" s="36" t="str">
        <f>IF(HBV_Other_Population="","",IF(Effective_Other_HBsAg_Freq="Annuel","1",""))</f>
        <v/>
      </c>
      <c r="C344" s="14" t="str">
        <f>IF(HBV_Other_Population="","",IF(Effective_Other_HBsAg_Freq="Annuel",Other_Population,""))</f>
        <v/>
      </c>
      <c r="D344" s="14" t="str">
        <f>IF(HBV_Other_Population="","",IF(Effective_Other_HBsAg_Freq="Annuel",HBV_Other_Y1_Screening_Target,""))</f>
        <v/>
      </c>
      <c r="E344" s="14" t="str">
        <f>IF(HBV_Other_Population="","",IF(Effective_Other_HBsAg_Freq="Annuel",Calc_HBsAgTests!E41,""))</f>
        <v/>
      </c>
      <c r="F344" s="14" t="str">
        <f>IF(HBV_Other_Population="","",IF(Effective_Other_HBsAg_Freq="Annuel",Calc_HBsAgTests!F41,""))</f>
        <v/>
      </c>
      <c r="G344" s="14" t="str">
        <f>IF(HBV_Other_Population="","",IF(Effective_Other_HBsAg_Freq="Annuel",Calc_HBsAgTests!G41,""))</f>
        <v/>
      </c>
      <c r="H344" s="14" t="str">
        <f>IF(HBV_Other_Population="","",IF(Effective_Other_HBsAg_Freq="Annuel",Calc_HBsAgTests!H41,""))</f>
        <v/>
      </c>
      <c r="I344" s="14" t="str">
        <f>IF(HBV_Other_Population="","",IF(Effective_Other_HBsAg_Freq="Annuel",Calc_HBsAgTests!I41,""))</f>
        <v/>
      </c>
      <c r="J344" s="14" t="str">
        <f>IF(HBV_Other_Population="","",IF(Effective_Other_HBsAg_Freq="Annuel",Calc_HBsAgTests!J41,""))</f>
        <v/>
      </c>
      <c r="K344" s="13" t="str">
        <f>IF(HBV_Other_Population="","",IF(Effective_Other_HBsAg_Freq="Annuel",HBsAg_PackSize,""))</f>
        <v/>
      </c>
      <c r="L344" s="14" t="str">
        <f>IF(HBV_Other_Population="","",IF(Effective_Other_HBsAg_Freq="Annuel",IF(HBsAg_PackSize="","Enter pack size",CEILING(J344/K344,1)),""))</f>
        <v/>
      </c>
    </row>
    <row r="345" spans="1:13" x14ac:dyDescent="0.35">
      <c r="A345" s="36" t="str">
        <f>IF(HBV_Other_Population="","",IF(Effective_Other_HBsAg_Freq="Annuel","Année 2",""))</f>
        <v/>
      </c>
      <c r="B345" s="36" t="str">
        <f>IF(HBV_Other_Population="","",IF(Effective_Other_HBsAg_Freq="Annuel","2",""))</f>
        <v/>
      </c>
      <c r="C345" s="14" t="str">
        <f>IF(HBV_Other_Population="","",IF(Effective_Other_HBsAg_Freq="Annuel",Other_Population,""))</f>
        <v/>
      </c>
      <c r="D345" s="14" t="str">
        <f>IF(HBV_Other_Population="","",IF(Effective_Other_HBsAg_Freq="Annuel",HBV_Other_Y2_Screening_Target,""))</f>
        <v/>
      </c>
      <c r="E345" s="14" t="str">
        <f>IF(HBV_Other_Population="","",IF(Effective_Other_HBsAg_Freq="Annuel",Calc_HBsAgTests!E42,""))</f>
        <v/>
      </c>
      <c r="F345" s="14" t="str">
        <f>IF(HBV_Other_Population="","",IF(Effective_Other_HBsAg_Freq="Annuel",Calc_HBsAgTests!F42,""))</f>
        <v/>
      </c>
      <c r="G345" s="14" t="str">
        <f>IF(HBV_Other_Population="","",IF(Effective_Other_HBsAg_Freq="Annuel",Calc_HBsAgTests!G42,""))</f>
        <v/>
      </c>
      <c r="H345" s="14" t="str">
        <f>IF(HBV_Other_Population="","",IF(Effective_Other_HBsAg_Freq="Annuel",Calc_HBsAgTests!H42,""))</f>
        <v/>
      </c>
      <c r="I345" s="14" t="str">
        <f>IF(HBV_Other_Population="","",IF(Effective_Other_HBsAg_Freq="Annuel",Calc_HBsAgTests!I42,""))</f>
        <v/>
      </c>
      <c r="J345" s="14" t="str">
        <f>IF(HBV_Other_Population="","",IF(Effective_Other_HBsAg_Freq="Annuel",Calc_HBsAgTests!J42,""))</f>
        <v/>
      </c>
      <c r="K345" s="13" t="str">
        <f>IF(HBV_Other_Population="","",IF(Effective_Other_HBsAg_Freq="Annuel",HBsAg_PackSize,""))</f>
        <v/>
      </c>
      <c r="L345" s="14" t="str">
        <f>IF(HBV_Other_Population="","",IF(Effective_Other_HBsAg_Freq="Annuel",IF(HBsAg_PackSize="","Enter pack size",CEILING(J345/K345,1)),""))</f>
        <v/>
      </c>
    </row>
    <row r="346" spans="1:13" x14ac:dyDescent="0.35">
      <c r="A346" s="36" t="str">
        <f>IF(HBV_Other_Population="","",IF(Effective_Other_HBsAg_Freq="Annuel","Année 3",""))</f>
        <v/>
      </c>
      <c r="B346" s="36" t="str">
        <f>IF(HBV_Other_Population="","",IF(Effective_Other_HBsAg_Freq="Annuel","3",""))</f>
        <v/>
      </c>
      <c r="C346" s="14" t="str">
        <f>IF(HBV_Other_Population="","",IF(Effective_Other_HBsAg_Freq="Annuel",Other_Population,""))</f>
        <v/>
      </c>
      <c r="D346" s="14" t="str">
        <f>IF(HBV_Other_Population="","",IF(Effective_Other_HBsAg_Freq="Annuel",HBV_Other_Y3_Screening_Target,""))</f>
        <v/>
      </c>
      <c r="E346" s="14" t="str">
        <f>IF(HBV_Other_Population="","",IF(Effective_Other_HBsAg_Freq="Annuel",Calc_HBsAgTests!E43,""))</f>
        <v/>
      </c>
      <c r="F346" s="14" t="str">
        <f>IF(HBV_Other_Population="","",IF(Effective_Other_HBsAg_Freq="Annuel",Calc_HBsAgTests!F43,""))</f>
        <v/>
      </c>
      <c r="G346" s="14" t="str">
        <f>IF(HBV_Other_Population="","",IF(Effective_Other_HBsAg_Freq="Annuel",Calc_HBsAgTests!G43,""))</f>
        <v/>
      </c>
      <c r="H346" s="14" t="str">
        <f>IF(HBV_Other_Population="","",IF(Effective_Other_HBsAg_Freq="Annuel",Calc_HBsAgTests!H43,""))</f>
        <v/>
      </c>
      <c r="I346" s="14" t="str">
        <f>IF(HBV_Other_Population="","",IF(Effective_Other_HBsAg_Freq="Annuel",Calc_HBsAgTests!I43,""))</f>
        <v/>
      </c>
      <c r="J346" s="14" t="str">
        <f>IF(HBV_Other_Population="","",IF(Effective_Other_HBsAg_Freq="Annuel",Calc_HBsAgTests!J43,""))</f>
        <v/>
      </c>
      <c r="K346" s="13" t="str">
        <f>IF(HBV_Other_Population="","",IF(Effective_Other_HBsAg_Freq="Annuel",HBsAg_PackSize,""))</f>
        <v/>
      </c>
      <c r="L346" s="14" t="str">
        <f>IF(HBV_Other_Population="","",IF(Effective_Other_HBsAg_Freq="Annuel",IF(HBsAg_PackSize="","Enter pack size",CEILING(J346/K346,1)),""))</f>
        <v/>
      </c>
    </row>
    <row r="348" spans="1:13" s="96" customFormat="1" ht="16" x14ac:dyDescent="0.4">
      <c r="A348" s="86" t="str">
        <f>IF(HBV_Other_Population="","",IF(Effective_Other_HBsAg_Freq="Annuel","TOTAL SUR 3 ANS",""))</f>
        <v/>
      </c>
      <c r="B348" s="91"/>
      <c r="C348" s="91"/>
      <c r="D348" s="91"/>
      <c r="E348" s="91"/>
      <c r="F348" s="91"/>
      <c r="G348" s="91"/>
      <c r="H348" s="91"/>
      <c r="I348" s="91"/>
      <c r="J348" s="87" t="str">
        <f>IF(HBV_Other_Population="","",IF(Effective_Other_HBsAg_Freq="Annuel",SUM(J344:J346),""))</f>
        <v/>
      </c>
      <c r="K348" s="91"/>
      <c r="L348" s="87" t="str">
        <f>IF(HBV_Other_Population="","",IF(Effective_Other_HBsAg_Freq="Annuel",SUM(L344:L346),""))</f>
        <v/>
      </c>
    </row>
    <row r="350" spans="1:13" ht="16" x14ac:dyDescent="0.4">
      <c r="A350" s="163" t="s">
        <v>549</v>
      </c>
      <c r="B350" s="92"/>
      <c r="C350" s="92"/>
      <c r="D350" s="92"/>
      <c r="E350" s="92"/>
      <c r="F350" s="92"/>
      <c r="G350" s="92"/>
      <c r="H350" s="92"/>
      <c r="I350" s="92"/>
      <c r="J350" s="80"/>
      <c r="K350" s="92"/>
      <c r="L350" s="80"/>
    </row>
    <row r="351" spans="1:13" ht="58" x14ac:dyDescent="0.35">
      <c r="A351" s="58" t="s">
        <v>537</v>
      </c>
      <c r="B351" s="58" t="s">
        <v>538</v>
      </c>
      <c r="C351" s="57" t="s">
        <v>572</v>
      </c>
      <c r="D351" s="57" t="s">
        <v>540</v>
      </c>
      <c r="E351" s="57" t="s">
        <v>573</v>
      </c>
      <c r="F351" s="57" t="s">
        <v>542</v>
      </c>
      <c r="G351" s="57" t="s">
        <v>543</v>
      </c>
      <c r="H351" s="57" t="s">
        <v>544</v>
      </c>
      <c r="I351" s="57" t="s">
        <v>545</v>
      </c>
      <c r="J351" s="57" t="s">
        <v>546</v>
      </c>
      <c r="K351" s="57" t="s">
        <v>547</v>
      </c>
      <c r="L351" s="57" t="s">
        <v>548</v>
      </c>
    </row>
    <row r="352" spans="1:13" x14ac:dyDescent="0.35">
      <c r="A352" s="93" t="str">
        <f>IF(HBV_Other_Population="","",IF(Effective_Other_HBsAg_Freq="semestriel","S1",""))</f>
        <v/>
      </c>
      <c r="B352" s="93" t="str">
        <f>IF(HBV_Other_Population="","",IF(Effective_Other_HBsAg_Freq="semestriel",1,""))</f>
        <v/>
      </c>
      <c r="C352" s="14" t="str">
        <f t="shared" ref="C352:C357" si="20">IF(HBV_Other_Population="","",IF(Effective_Other_HBsAg_Freq="semestriel",Other_Population/2,""))</f>
        <v/>
      </c>
      <c r="D352" s="93" t="str">
        <f>IF(HBV_Other_Population="","",IF(Effective_Other_HBsAg_Freq="semestriel",HBV_Other_Y1_Screening_Target,""))</f>
        <v/>
      </c>
      <c r="E352" s="14" t="str">
        <f>IF(HBV_Other_Population="","",IF(Effective_Other_HBsAg_Freq="semestriel",Calc_HBsAgTests!E28+Calc_HBsAgTests!E29,""))</f>
        <v/>
      </c>
      <c r="F352" s="14" t="str">
        <f>IF(HBV_Other_Population="","",IF(Effective_Other_HBsAg_Freq="semestriel",Calc_HBsAgTests!F28+Calc_HBsAgTests!F29,""))</f>
        <v/>
      </c>
      <c r="G352" s="14" t="str">
        <f>IF(HBV_Other_Population="","",IF(Effective_Other_HBsAg_Freq="semestriel",Calc_HBsAgTests!G28+Calc_HBsAgTests!G29,""))</f>
        <v/>
      </c>
      <c r="H352" s="14" t="str">
        <f>IF(HBV_Other_Population="","",IF(Effective_Other_HBsAg_Freq="semestriel",Calc_HBsAgTests!S28+Calc_HBsAgTests!S29,""))</f>
        <v/>
      </c>
      <c r="I352" s="14" t="str">
        <f>IF(HBV_Other_Population="","",IF(Effective_Other_HBsAg_Freq="semestriel",Calc_HBsAgTests!I28+Calc_HBsAgTests!I29,""))</f>
        <v/>
      </c>
      <c r="J352" s="14" t="str">
        <f>IF(HBV_Other_Population="","",IF(Effective_Other_HBsAg_Freq="semestriel",Calc_HBsAgTests!J28+Calc_HBsAgTests!J29,""))</f>
        <v/>
      </c>
      <c r="K352" s="13" t="str">
        <f t="shared" ref="K352:K357" si="21">IF(HBV_Other_Population="","",IF(Effective_Other_HBsAg_Freq="semestriel",HBsAg_PackSize,""))</f>
        <v/>
      </c>
      <c r="L352" s="94" t="str">
        <f t="shared" ref="L352:L357" si="22">IF(HBV_Other_Population="","",IF(Effective_Other_HBsAg_Freq="semestriel",IF(HBsAg_PackSize="","Enter pack size",CEILING(J352/K352,1)),""))</f>
        <v/>
      </c>
    </row>
    <row r="353" spans="1:12" x14ac:dyDescent="0.35">
      <c r="A353" s="93" t="str">
        <f>IF(HBV_Other_Population="","",IF(Effective_Other_HBsAg_Freq="semestriel","S2",""))</f>
        <v/>
      </c>
      <c r="B353" s="93" t="str">
        <f>IF(HBV_Other_Population="","",IF(Effective_Other_HBsAg_Freq="semestriel",1,""))</f>
        <v/>
      </c>
      <c r="C353" s="14" t="str">
        <f t="shared" si="20"/>
        <v/>
      </c>
      <c r="D353" s="93" t="str">
        <f>IF(HBV_Other_Population="","",IF(Effective_Other_HBsAg_Freq="semestriel",HBV_Other_Y1_Screening_Target,""))</f>
        <v/>
      </c>
      <c r="E353" s="14" t="str">
        <f>IF(HBV_Other_Population="","",IF(Effective_Other_HBsAg_Freq="semestriel",Calc_HBsAgTests!E30+Calc_HBsAgTests!E31,""))</f>
        <v/>
      </c>
      <c r="F353" s="14" t="str">
        <f>IF(HBV_Other_Population="","",IF(Effective_Other_HBsAg_Freq="semestriel",Calc_HBsAgTests!F30+Calc_HBsAgTests!F31,""))</f>
        <v/>
      </c>
      <c r="G353" s="14" t="str">
        <f>IF(HBV_Other_Population="","",IF(Effective_Other_HBsAg_Freq="semestriel",Calc_HBsAgTests!G30+Calc_HBsAgTests!G31,""))</f>
        <v/>
      </c>
      <c r="H353" s="14" t="str">
        <f>IF(HBV_Other_Population="","",IF(Effective_Other_HBsAg_Freq="semestriel",Calc_HBsAgTests!H30+Calc_HBsAgTests!H31,""))</f>
        <v/>
      </c>
      <c r="I353" s="14" t="str">
        <f>IF(HBV_Other_Population="","",IF(Effective_Other_HBsAg_Freq="semestriel",Calc_HBsAgTests!I30+Calc_HBsAgTests!I31,""))</f>
        <v/>
      </c>
      <c r="J353" s="14" t="str">
        <f>IF(HBV_Other_Population="","",IF(Effective_Other_HBsAg_Freq="semestriel",Calc_HBsAgTests!J30+Calc_HBsAgTests!J31,""))</f>
        <v/>
      </c>
      <c r="K353" s="13" t="str">
        <f t="shared" si="21"/>
        <v/>
      </c>
      <c r="L353" s="94" t="str">
        <f t="shared" si="22"/>
        <v/>
      </c>
    </row>
    <row r="354" spans="1:12" x14ac:dyDescent="0.35">
      <c r="A354" s="93" t="str">
        <f>IF(HBV_Other_Population="","",IF(Effective_Other_HBsAg_Freq="semestriel","S1",""))</f>
        <v/>
      </c>
      <c r="B354" s="93" t="str">
        <f>IF(HBV_Other_Population="","",IF(Effective_Other_HBsAg_Freq="semestriel",2,""))</f>
        <v/>
      </c>
      <c r="C354" s="14" t="str">
        <f t="shared" si="20"/>
        <v/>
      </c>
      <c r="D354" s="93" t="str">
        <f>IF(HBV_Other_Population="","",IF(Effective_Other_HBsAg_Freq="semestriel",HBV_Other_Y2_Screening_Target,""))</f>
        <v/>
      </c>
      <c r="E354" s="14" t="str">
        <f>IF(HBV_Other_Population="","",IF(Effective_Other_HBsAg_Freq="semestriel",Calc_HBsAgTests!E32+Calc_HBsAgTests!E33,""))</f>
        <v/>
      </c>
      <c r="F354" s="14" t="str">
        <f>IF(HBV_Other_Population="","",IF(Effective_Other_HBsAg_Freq="semestriel",Calc_HBsAgTests!F32+Calc_HBsAgTests!F33,""))</f>
        <v/>
      </c>
      <c r="G354" s="14" t="str">
        <f>IF(HBV_Other_Population="","",IF(Effective_Other_HBsAg_Freq="semestriel",Calc_HBsAgTests!G32+Calc_HBsAgTests!G33,""))</f>
        <v/>
      </c>
      <c r="H354" s="14" t="str">
        <f>IF(HBV_Other_Population="","",IF(Effective_Other_HBsAg_Freq="semestriel",Calc_HBsAgTests!H32+Calc_HBsAgTests!H33,""))</f>
        <v/>
      </c>
      <c r="I354" s="14" t="str">
        <f>IF(HBV_Other_Population="","",IF(Effective_Other_HBsAg_Freq="semestriel",Calc_HBsAgTests!I32+Calc_HBsAgTests!I33,""))</f>
        <v/>
      </c>
      <c r="J354" s="14" t="str">
        <f>IF(HBV_Other_Population="","",IF(Effective_Other_HBsAg_Freq="semestriel",Calc_HBsAgTests!J32+Calc_HBsAgTests!J33,""))</f>
        <v/>
      </c>
      <c r="K354" s="13" t="str">
        <f t="shared" si="21"/>
        <v/>
      </c>
      <c r="L354" s="94" t="str">
        <f t="shared" si="22"/>
        <v/>
      </c>
    </row>
    <row r="355" spans="1:12" x14ac:dyDescent="0.35">
      <c r="A355" s="93" t="str">
        <f>IF(HBV_Other_Population="","",IF(Effective_Other_HBsAg_Freq="semestriel","S2",""))</f>
        <v/>
      </c>
      <c r="B355" s="93" t="str">
        <f>IF(HBV_Other_Population="","",IF(Effective_Other_HBsAg_Freq="semestriel",2,""))</f>
        <v/>
      </c>
      <c r="C355" s="14" t="str">
        <f t="shared" si="20"/>
        <v/>
      </c>
      <c r="D355" s="93" t="str">
        <f>IF(HBV_Other_Population="","",IF(Effective_Other_HBsAg_Freq="semestriel",HBV_Other_Y2_Screening_Target,""))</f>
        <v/>
      </c>
      <c r="E355" s="14" t="str">
        <f>IF(HBV_Other_Population="","",IF(Effective_Other_HBsAg_Freq="semestriel",Calc_HBsAgTests!E34+Calc_HBsAgTests!E35,""))</f>
        <v/>
      </c>
      <c r="F355" s="14" t="str">
        <f>IF(HBV_Other_Population="","",IF(Effective_Other_HBsAg_Freq="semestriel",Calc_HBsAgTests!F34+Calc_HBsAgTests!F35,""))</f>
        <v/>
      </c>
      <c r="G355" s="14" t="str">
        <f>IF(HBV_Other_Population="","",IF(Effective_Other_HBsAg_Freq="semestriel",Calc_HBsAgTests!G34+Calc_HBsAgTests!G35,""))</f>
        <v/>
      </c>
      <c r="H355" s="14" t="str">
        <f>IF(HBV_Other_Population="","",IF(Effective_Other_HBsAg_Freq="semestriel",Calc_HBsAgTests!H34+Calc_HBsAgTests!H35,""))</f>
        <v/>
      </c>
      <c r="I355" s="14" t="str">
        <f>IF(HBV_Other_Population="","",IF(Effective_Other_HBsAg_Freq="semestriel",Calc_HBsAgTests!I34+Calc_HBsAgTests!I35,""))</f>
        <v/>
      </c>
      <c r="J355" s="14" t="str">
        <f>IF(HBV_Other_Population="","",IF(Effective_Other_HBsAg_Freq="semestriel",Calc_HBsAgTests!J34+Calc_HBsAgTests!J35,""))</f>
        <v/>
      </c>
      <c r="K355" s="13" t="str">
        <f t="shared" si="21"/>
        <v/>
      </c>
      <c r="L355" s="94" t="str">
        <f t="shared" si="22"/>
        <v/>
      </c>
    </row>
    <row r="356" spans="1:12" x14ac:dyDescent="0.35">
      <c r="A356" s="93" t="str">
        <f>IF(HBV_Other_Population="","",IF(Effective_Other_HBsAg_Freq="semestriel","S1",""))</f>
        <v/>
      </c>
      <c r="B356" s="93" t="str">
        <f>IF(HBV_Other_Population="","",IF(Effective_Other_HBsAg_Freq="semestriel",3,""))</f>
        <v/>
      </c>
      <c r="C356" s="14" t="str">
        <f t="shared" si="20"/>
        <v/>
      </c>
      <c r="D356" s="93" t="str">
        <f>IF(HBV_Other_Population="","",IF(Effective_Other_HBsAg_Freq="semestriel",HBV_Other_Y3_Screening_Target,""))</f>
        <v/>
      </c>
      <c r="E356" s="14" t="str">
        <f>IF(HBV_Other_Population="","",IF(Effective_Other_HBsAg_Freq="semestriel",Calc_HBsAgTests!E36+Calc_HBsAgTests!E37,""))</f>
        <v/>
      </c>
      <c r="F356" s="14" t="str">
        <f>IF(HBV_Other_Population="","",IF(Effective_Other_HBsAg_Freq="semestriel",Calc_HBsAgTests!F36+Calc_HBsAgTests!F37,""))</f>
        <v/>
      </c>
      <c r="G356" s="14" t="str">
        <f>IF(HBV_Other_Population="","",IF(Effective_Other_HBsAg_Freq="semestriel",Calc_HBsAgTests!G36+Calc_HBsAgTests!G37,""))</f>
        <v/>
      </c>
      <c r="H356" s="14" t="str">
        <f>IF(HBV_Other_Population="","",IF(Effective_Other_HBsAg_Freq="semestriel",Calc_HBsAgTests!H36+Calc_HBsAgTests!H37,""))</f>
        <v/>
      </c>
      <c r="I356" s="14" t="str">
        <f>IF(HBV_Other_Population="","",IF(Effective_Other_HBsAg_Freq="semestriel",Calc_HBsAgTests!I36+Calc_HBsAgTests!I37,""))</f>
        <v/>
      </c>
      <c r="J356" s="14" t="str">
        <f>IF(HBV_Other_Population="","",IF(Effective_Other_HBsAg_Freq="semestriel",Calc_HBsAgTests!J36+Calc_HBsAgTests!J37,""))</f>
        <v/>
      </c>
      <c r="K356" s="13" t="str">
        <f t="shared" si="21"/>
        <v/>
      </c>
      <c r="L356" s="94" t="str">
        <f t="shared" si="22"/>
        <v/>
      </c>
    </row>
    <row r="357" spans="1:12" x14ac:dyDescent="0.35">
      <c r="A357" s="93" t="str">
        <f>IF(HBV_Other_Population="","",IF(Effective_Other_HBsAg_Freq="semestriel","S2",""))</f>
        <v/>
      </c>
      <c r="B357" s="93" t="str">
        <f>IF(HBV_Other_Population="","",IF(Effective_Other_HBsAg_Freq="semestriel",3,""))</f>
        <v/>
      </c>
      <c r="C357" s="14" t="str">
        <f t="shared" si="20"/>
        <v/>
      </c>
      <c r="D357" s="93" t="str">
        <f>IF(HBV_Other_Population="","",IF(Effective_Other_HBsAg_Freq="semestriel",HBV_Other_Y3_Screening_Target,""))</f>
        <v/>
      </c>
      <c r="E357" s="14" t="str">
        <f>IF(HBV_Other_Population="","",IF(Effective_Other_HBsAg_Freq="semestriel",Calc_HBsAgTests!E38+Calc_HBsAgTests!E39,""))</f>
        <v/>
      </c>
      <c r="F357" s="14" t="str">
        <f>IF(HBV_Other_Population="","",IF(Effective_Other_HBsAg_Freq="semestriel",Calc_HBsAgTests!F38+Calc_HBsAgTests!F39,""))</f>
        <v/>
      </c>
      <c r="G357" s="14" t="str">
        <f>IF(HBV_Other_Population="","",IF(Effective_Other_HBsAg_Freq="semestriel",Calc_HBsAgTests!G38+Calc_HBsAgTests!G39,""))</f>
        <v/>
      </c>
      <c r="H357" s="14" t="str">
        <f>IF(HBV_Other_Population="","",IF(Effective_Other_HBsAg_Freq="semestriel",Calc_HBsAgTests!H38+Calc_HBsAgTests!H39,""))</f>
        <v/>
      </c>
      <c r="I357" s="14" t="str">
        <f>IF(HBV_Other_Population="","",IF(Effective_Other_HBsAg_Freq="semestriel",Calc_HBsAgTests!I38+Calc_HBsAgTests!I39,""))</f>
        <v/>
      </c>
      <c r="J357" s="14" t="str">
        <f>IF(HBV_Other_Population="","",IF(Effective_Other_HBsAg_Freq="semestriel",Calc_HBsAgTests!J38+Calc_HBsAgTests!J39,""))</f>
        <v/>
      </c>
      <c r="K357" s="13" t="str">
        <f t="shared" si="21"/>
        <v/>
      </c>
      <c r="L357" s="94" t="str">
        <f t="shared" si="22"/>
        <v/>
      </c>
    </row>
    <row r="358" spans="1:12" x14ac:dyDescent="0.35">
      <c r="A358" s="9"/>
      <c r="B358" s="9"/>
      <c r="C358" s="48"/>
      <c r="D358" s="9"/>
      <c r="E358" s="48"/>
      <c r="F358" s="48"/>
      <c r="G358" s="48"/>
      <c r="H358" s="48"/>
      <c r="I358" s="48"/>
      <c r="J358" s="95"/>
      <c r="K358" s="9"/>
      <c r="L358" s="95"/>
    </row>
    <row r="359" spans="1:12" x14ac:dyDescent="0.35">
      <c r="A359" s="24" t="str">
        <f>IF(HBV_Other_Population="","",IF(Effective_Other_HBsAg_Freq="semestriel","Total Année 1",""))</f>
        <v/>
      </c>
      <c r="B359" s="105"/>
      <c r="C359" s="105"/>
      <c r="D359" s="105"/>
      <c r="E359" s="105"/>
      <c r="F359" s="106"/>
      <c r="G359" s="106"/>
      <c r="H359" s="107"/>
      <c r="I359" s="107"/>
      <c r="J359" s="107" t="str">
        <f>IF(HBV_Other_Population="","",IF(Effective_Other_HBsAg_Freq="semestriel",J353+J354,""))</f>
        <v/>
      </c>
      <c r="K359" s="107"/>
      <c r="L359" s="107" t="str">
        <f>IF(HBV_Other_Population="","",IF(Effective_Other_HBsAg_Freq="semestriel",L352+L353,""))</f>
        <v/>
      </c>
    </row>
    <row r="360" spans="1:12" x14ac:dyDescent="0.35">
      <c r="A360" s="24" t="str">
        <f>IF(HBV_Other_Population="","",IF(Effective_Other_HBsAg_Freq="semestriel","Total Année 2",""))</f>
        <v/>
      </c>
      <c r="B360" s="105"/>
      <c r="C360" s="105"/>
      <c r="D360" s="105"/>
      <c r="E360" s="105"/>
      <c r="F360" s="106"/>
      <c r="G360" s="106"/>
      <c r="H360" s="107"/>
      <c r="I360" s="107"/>
      <c r="J360" s="107" t="str">
        <f>IF(HBV_Other_Population="","",IF(Effective_Other_HBsAg_Freq="semestriel",J354+J355,""))</f>
        <v/>
      </c>
      <c r="K360" s="107"/>
      <c r="L360" s="107" t="str">
        <f>IF(HBV_Other_Population="","",IF(Effective_Other_HBsAg_Freq="semestriel",L354+L355,""))</f>
        <v/>
      </c>
    </row>
    <row r="361" spans="1:12" x14ac:dyDescent="0.35">
      <c r="A361" s="24" t="str">
        <f>IF(HBV_Other_Population="","",IF(Effective_Other_HBsAg_Freq="semestriel","Total Année 3",""))</f>
        <v/>
      </c>
      <c r="B361" s="105"/>
      <c r="C361" s="105"/>
      <c r="D361" s="105"/>
      <c r="E361" s="105"/>
      <c r="F361" s="106"/>
      <c r="G361" s="106"/>
      <c r="H361" s="107"/>
      <c r="I361" s="107"/>
      <c r="J361" s="107" t="str">
        <f>IF(HBV_Other_Population="","",IF(Effective_Other_HBsAg_Freq="semestriel",J356+J357,""))</f>
        <v/>
      </c>
      <c r="K361" s="107"/>
      <c r="L361" s="107" t="str">
        <f>IF(HBV_Other_Population="","",IF(Effective_Other_HBsAg_Freq="semestriel",L356+L357,""))</f>
        <v/>
      </c>
    </row>
    <row r="362" spans="1:12" x14ac:dyDescent="0.35">
      <c r="A362" s="9"/>
      <c r="B362" s="9"/>
      <c r="C362" s="9"/>
      <c r="D362" s="9"/>
      <c r="E362" s="9"/>
      <c r="F362" s="9"/>
      <c r="G362" s="9"/>
      <c r="H362" s="9"/>
      <c r="I362" s="9"/>
      <c r="J362" s="95"/>
      <c r="K362" s="9"/>
      <c r="L362" s="95"/>
    </row>
    <row r="363" spans="1:12" s="96" customFormat="1" ht="16" x14ac:dyDescent="0.4">
      <c r="A363" s="86" t="str">
        <f>IF(HBV_Other_Population="","",IF(Effective_Other_HBsAg_Freq="semestriel","TOTAL SUR 3 ANS",""))</f>
        <v/>
      </c>
      <c r="B363" s="91"/>
      <c r="C363" s="91"/>
      <c r="D363" s="91"/>
      <c r="E363" s="91"/>
      <c r="F363" s="91"/>
      <c r="G363" s="91"/>
      <c r="H363" s="91"/>
      <c r="I363" s="91"/>
      <c r="J363" s="87" t="str">
        <f>IF(HBV_Other_Population="","",IF(Effective_Other_HBsAg_Freq="semestriel",SUM(J359:J361),""))</f>
        <v/>
      </c>
      <c r="K363" s="91"/>
      <c r="L363" s="87" t="str">
        <f>IF(HBV_Other_Population="","",IF(Effective_Other_HBsAg_Freq="semestriel",SUM(L359:L361),""))</f>
        <v/>
      </c>
    </row>
    <row r="365" spans="1:12" x14ac:dyDescent="0.35">
      <c r="A365" s="163" t="s">
        <v>550</v>
      </c>
    </row>
    <row r="366" spans="1:12" ht="58" x14ac:dyDescent="0.35">
      <c r="A366" s="58" t="s">
        <v>537</v>
      </c>
      <c r="B366" s="58" t="s">
        <v>538</v>
      </c>
      <c r="C366" s="57" t="s">
        <v>572</v>
      </c>
      <c r="D366" s="57" t="s">
        <v>540</v>
      </c>
      <c r="E366" s="57" t="s">
        <v>573</v>
      </c>
      <c r="F366" s="57" t="s">
        <v>542</v>
      </c>
      <c r="G366" s="57" t="s">
        <v>543</v>
      </c>
      <c r="H366" s="57" t="s">
        <v>544</v>
      </c>
      <c r="I366" s="57" t="s">
        <v>545</v>
      </c>
      <c r="J366" s="57" t="s">
        <v>546</v>
      </c>
      <c r="K366" s="57" t="s">
        <v>547</v>
      </c>
      <c r="L366" s="57" t="s">
        <v>548</v>
      </c>
    </row>
    <row r="367" spans="1:12" x14ac:dyDescent="0.35">
      <c r="A367" s="93" t="str">
        <f>IF(HBV_Other_Population="","",IF(Effective_Other_HBsAg_Freq="trimestriel","T1",""))</f>
        <v/>
      </c>
      <c r="B367" s="93" t="str">
        <f>IF(HBV_Other_Population="","",IF(Effective_Other_HBsAg_Freq="trimestriel",1,""))</f>
        <v/>
      </c>
      <c r="C367" s="14" t="str">
        <f t="shared" ref="C367:C378" si="23">IF(HBV_Other_Population="","",IF(Effective_Other_HBsAg_Freq="trimestriel",HBV_Other_Population/4,""))</f>
        <v/>
      </c>
      <c r="D367" s="93" t="str">
        <f>IF(HBV_Other_Population="","",IF(Effective_Other_HBsAg_Freq="trimestriel",HBV_Other_Y1_Screening_Target,""))</f>
        <v/>
      </c>
      <c r="E367" s="14" t="str">
        <f>IF(HBV_Other_Population="","",IF(Effective_Other_HBsAg_Freq="trimestriel",Calc_HBsAgTests!E28,""))</f>
        <v/>
      </c>
      <c r="F367" s="14" t="str">
        <f>IF(HBV_Other_Population="","",IF(Effective_Other_HBsAg_Freq="trimestriel",Calc_HBsAgTests!F28,""))</f>
        <v/>
      </c>
      <c r="G367" s="14" t="str">
        <f>IF(HBV_Other_Population="","",IF(Effective_Other_HBsAg_Freq="trimestriel",Calc_HBsAgTests!G28,""))</f>
        <v/>
      </c>
      <c r="H367" s="14" t="str">
        <f>IF(HBV_Other_Population="","",IF(Effective_Other_HBsAg_Freq="trimestriel",Calc_HBsAgTests!S28,""))</f>
        <v/>
      </c>
      <c r="I367" s="14" t="str">
        <f>IF(HBV_Other_Population="","",IF(Effective_Other_HBsAg_Freq="trimestriel",Calc_HBsAgTests!I28,""))</f>
        <v/>
      </c>
      <c r="J367" s="14" t="str">
        <f>IF(HBV_Other_Population="","",IF(Effective_Other_HBsAg_Freq="trimestriel",Calc_HBsAgTests!J28,""))</f>
        <v/>
      </c>
      <c r="K367" s="13" t="str">
        <f t="shared" ref="K367:K378" si="24">IF(HBV_Other_Population="","",IF(Effective_Other_HBsAg_Freq="trimestriel",HBsAg_PackSize,""))</f>
        <v/>
      </c>
      <c r="L367" s="94" t="str">
        <f t="shared" ref="L367:L378" si="25">IF(HBV_Other_Population="","",IF(Effective_Other_HBsAg_Freq="trimestriel",IF(HBsAg_PackSize="","Enter pack size",CEILING(J367/K367,1)),""))</f>
        <v/>
      </c>
    </row>
    <row r="368" spans="1:12" x14ac:dyDescent="0.35">
      <c r="A368" s="93" t="str">
        <f>IF(HBV_Other_Population="","",IF(Effective_Other_HBsAg_Freq="trimestriel","T2",""))</f>
        <v/>
      </c>
      <c r="B368" s="93" t="str">
        <f>IF(HBV_Other_Population="","",IF(Effective_Other_HBsAg_Freq="trimestriel",1,""))</f>
        <v/>
      </c>
      <c r="C368" s="14" t="str">
        <f t="shared" si="23"/>
        <v/>
      </c>
      <c r="D368" s="93" t="str">
        <f>IF(HBV_Other_Population="","",IF(Effective_Other_HBsAg_Freq="trimestriel",HBV_Other_Y1_Screening_Target,""))</f>
        <v/>
      </c>
      <c r="E368" s="14" t="str">
        <f>IF(HBV_Other_Population="","",IF(Effective_Other_HBsAg_Freq="trimestriel",Calc_HBsAgTests!E29,""))</f>
        <v/>
      </c>
      <c r="F368" s="14" t="str">
        <f>IF(HBV_Other_Population="","",IF(Effective_Other_HBsAg_Freq="trimestriel",Calc_HBsAgTests!F29,""))</f>
        <v/>
      </c>
      <c r="G368" s="14" t="str">
        <f>IF(HBV_Other_Population="","",IF(Effective_Other_HBsAg_Freq="trimestriel",Calc_HBsAgTests!G29,""))</f>
        <v/>
      </c>
      <c r="H368" s="14" t="str">
        <f>IF(HBV_Other_Population="","",IF(Effective_Other_HBsAg_Freq="trimestriel",Calc_HBsAgTests!S29,""))</f>
        <v/>
      </c>
      <c r="I368" s="14" t="str">
        <f>IF(HBV_Other_Population="","",IF(Effective_Other_HBsAg_Freq="trimestriel",Calc_HBsAgTests!I29,""))</f>
        <v/>
      </c>
      <c r="J368" s="14" t="str">
        <f>IF(HBV_Other_Population="","",IF(Effective_Other_HBsAg_Freq="trimestriel",Calc_HBsAgTests!J29,""))</f>
        <v/>
      </c>
      <c r="K368" s="13" t="str">
        <f t="shared" si="24"/>
        <v/>
      </c>
      <c r="L368" s="94" t="str">
        <f t="shared" si="25"/>
        <v/>
      </c>
    </row>
    <row r="369" spans="1:12" x14ac:dyDescent="0.35">
      <c r="A369" s="93" t="str">
        <f>IF(HBV_Other_Population="","",IF(Effective_Other_HBsAg_Freq="trimestriel","T3",""))</f>
        <v/>
      </c>
      <c r="B369" s="93" t="str">
        <f>IF(HBV_Other_Population="","",IF(Effective_Other_HBsAg_Freq="trimestriel",1,""))</f>
        <v/>
      </c>
      <c r="C369" s="14" t="str">
        <f t="shared" si="23"/>
        <v/>
      </c>
      <c r="D369" s="93" t="str">
        <f>IF(HBV_Other_Population="","",IF(Effective_Other_HBsAg_Freq="trimestriel",HBV_Other_Y1_Screening_Target,""))</f>
        <v/>
      </c>
      <c r="E369" s="14" t="str">
        <f>IF(HBV_Other_Population="","",IF(Effective_Other_HBsAg_Freq="trimestriel",Calc_HBsAgTests!E30,""))</f>
        <v/>
      </c>
      <c r="F369" s="14" t="str">
        <f>IF(HBV_Other_Population="","",IF(Effective_Other_HBsAg_Freq="trimestriel",Calc_HBsAgTests!F30,""))</f>
        <v/>
      </c>
      <c r="G369" s="14" t="str">
        <f>IF(HBV_Other_Population="","",IF(Effective_Other_HBsAg_Freq="trimestriel",Calc_HBsAgTests!G30,""))</f>
        <v/>
      </c>
      <c r="H369" s="14" t="str">
        <f>IF(HBV_Other_Population="","",IF(Effective_Other_HBsAg_Freq="trimestriel",Calc_HBsAgTests!H30,""))</f>
        <v/>
      </c>
      <c r="I369" s="14" t="str">
        <f>IF(HBV_Other_Population="","",IF(Effective_Other_HBsAg_Freq="trimestriel",Calc_HBsAgTests!I30,""))</f>
        <v/>
      </c>
      <c r="J369" s="14" t="str">
        <f>IF(HBV_Other_Population="","",IF(Effective_Other_HBsAg_Freq="trimestriel",Calc_HBsAgTests!J30,""))</f>
        <v/>
      </c>
      <c r="K369" s="13" t="str">
        <f t="shared" si="24"/>
        <v/>
      </c>
      <c r="L369" s="94" t="str">
        <f t="shared" si="25"/>
        <v/>
      </c>
    </row>
    <row r="370" spans="1:12" x14ac:dyDescent="0.35">
      <c r="A370" s="93" t="str">
        <f>IF(HBV_Other_Population="","",IF(Effective_Other_HBsAg_Freq="trimestriel","T4",""))</f>
        <v/>
      </c>
      <c r="B370" s="93" t="str">
        <f>IF(HBV_Other_Population="","",IF(Effective_Other_HBsAg_Freq="trimestriel",1,""))</f>
        <v/>
      </c>
      <c r="C370" s="14" t="str">
        <f t="shared" si="23"/>
        <v/>
      </c>
      <c r="D370" s="93" t="str">
        <f>IF(HBV_Other_Population="","",IF(Effective_Other_HBsAg_Freq="trimestriel",HBV_Other_Y1_Screening_Target,""))</f>
        <v/>
      </c>
      <c r="E370" s="14" t="str">
        <f>IF(HBV_Other_Population="","",IF(Effective_Other_HBsAg_Freq="trimestriel",Calc_HBsAgTests!E31,""))</f>
        <v/>
      </c>
      <c r="F370" s="14" t="str">
        <f>IF(HBV_Other_Population="","",IF(Effective_Other_HBsAg_Freq="trimestriel",Calc_HBsAgTests!F31,""))</f>
        <v/>
      </c>
      <c r="G370" s="14" t="str">
        <f>IF(HBV_Other_Population="","",IF(Effective_Other_HBsAg_Freq="trimestriel",Calc_HBsAgTests!G31,""))</f>
        <v/>
      </c>
      <c r="H370" s="14" t="str">
        <f>IF(HBV_Other_Population="","",IF(Effective_Other_HBsAg_Freq="trimestriel",Calc_HBsAgTests!H31,""))</f>
        <v/>
      </c>
      <c r="I370" s="14" t="str">
        <f>IF(HBV_Other_Population="","",IF(Effective_Other_HBsAg_Freq="trimestriel",Calc_HBsAgTests!I31,""))</f>
        <v/>
      </c>
      <c r="J370" s="14" t="str">
        <f>IF(HBV_Other_Population="","",IF(Effective_Other_HBsAg_Freq="trimestriel",Calc_HBsAgTests!J31,""))</f>
        <v/>
      </c>
      <c r="K370" s="13" t="str">
        <f t="shared" si="24"/>
        <v/>
      </c>
      <c r="L370" s="94" t="str">
        <f t="shared" si="25"/>
        <v/>
      </c>
    </row>
    <row r="371" spans="1:12" x14ac:dyDescent="0.35">
      <c r="A371" s="93" t="str">
        <f>IF(HBV_Other_Population="","",IF(Effective_Other_HBsAg_Freq="trimestriel","T1",""))</f>
        <v/>
      </c>
      <c r="B371" s="93" t="str">
        <f>IF(HBV_Other_Population="","",IF(Effective_Other_HBsAg_Freq="trimestriel",2,""))</f>
        <v/>
      </c>
      <c r="C371" s="14" t="str">
        <f t="shared" si="23"/>
        <v/>
      </c>
      <c r="D371" s="93" t="str">
        <f>IF(HBV_Other_Population="","",IF(Effective_Other_HBsAg_Freq="trimestriel",HBV_Other_Y2_Screening_Target,""))</f>
        <v/>
      </c>
      <c r="E371" s="14" t="str">
        <f>IF(HBV_Other_Population="","",IF(Effective_Other_HBsAg_Freq="trimestriel",Calc_HBsAgTests!E32,""))</f>
        <v/>
      </c>
      <c r="F371" s="14" t="str">
        <f>IF(HBV_Other_Population="","",IF(Effective_Other_HBsAg_Freq="trimestriel",Calc_HBsAgTests!F32,""))</f>
        <v/>
      </c>
      <c r="G371" s="14" t="str">
        <f>IF(HBV_Other_Population="","",IF(Effective_Other_HBsAg_Freq="trimestriel",Calc_HBsAgTests!G32,""))</f>
        <v/>
      </c>
      <c r="H371" s="14" t="str">
        <f>IF(HBV_Other_Population="","",IF(Effective_Other_HBsAg_Freq="trimestriel",Calc_HBsAgTests!H32,""))</f>
        <v/>
      </c>
      <c r="I371" s="14" t="str">
        <f>IF(HBV_Other_Population="","",IF(Effective_Other_HBsAg_Freq="trimestriel",Calc_HBsAgTests!I32,""))</f>
        <v/>
      </c>
      <c r="J371" s="14" t="str">
        <f>IF(HBV_Other_Population="","",IF(Effective_Other_HBsAg_Freq="trimestriel",Calc_HBsAgTests!J32,""))</f>
        <v/>
      </c>
      <c r="K371" s="13" t="str">
        <f t="shared" si="24"/>
        <v/>
      </c>
      <c r="L371" s="94" t="str">
        <f t="shared" si="25"/>
        <v/>
      </c>
    </row>
    <row r="372" spans="1:12" x14ac:dyDescent="0.35">
      <c r="A372" s="93" t="str">
        <f>IF(HBV_Other_Population="","",IF(Effective_Other_HBsAg_Freq="trimestriel","T2",""))</f>
        <v/>
      </c>
      <c r="B372" s="93" t="str">
        <f>IF(HBV_Other_Population="","",IF(Effective_Other_HBsAg_Freq="trimestriel",2,""))</f>
        <v/>
      </c>
      <c r="C372" s="14" t="str">
        <f t="shared" si="23"/>
        <v/>
      </c>
      <c r="D372" s="93" t="str">
        <f>IF(HBV_Other_Population="","",IF(Effective_Other_HBsAg_Freq="trimestriel",HBV_Other_Y2_Screening_Target,""))</f>
        <v/>
      </c>
      <c r="E372" s="14" t="str">
        <f>IF(HBV_Other_Population="","",IF(Effective_Other_HBsAg_Freq="trimestriel",Calc_HBsAgTests!E33,""))</f>
        <v/>
      </c>
      <c r="F372" s="14" t="str">
        <f>IF(HBV_Other_Population="","",IF(Effective_Other_HBsAg_Freq="trimestriel",Calc_HBsAgTests!F33,""))</f>
        <v/>
      </c>
      <c r="G372" s="14" t="str">
        <f>IF(HBV_Other_Population="","",IF(Effective_Other_HBsAg_Freq="trimestriel",Calc_HBsAgTests!G33,""))</f>
        <v/>
      </c>
      <c r="H372" s="14" t="str">
        <f>IF(HBV_Other_Population="","",IF(Effective_Other_HBsAg_Freq="trimestriel",Calc_HBsAgTests!H33,""))</f>
        <v/>
      </c>
      <c r="I372" s="14" t="str">
        <f>IF(HBV_Other_Population="","",IF(Effective_Other_HBsAg_Freq="trimestriel",Calc_HBsAgTests!I33,""))</f>
        <v/>
      </c>
      <c r="J372" s="14" t="str">
        <f>IF(HBV_Other_Population="","",IF(Effective_Other_HBsAg_Freq="trimestriel",Calc_HBsAgTests!J33,""))</f>
        <v/>
      </c>
      <c r="K372" s="13" t="str">
        <f t="shared" si="24"/>
        <v/>
      </c>
      <c r="L372" s="94" t="str">
        <f t="shared" si="25"/>
        <v/>
      </c>
    </row>
    <row r="373" spans="1:12" x14ac:dyDescent="0.35">
      <c r="A373" s="93" t="str">
        <f>IF(HBV_Other_Population="","",IF(Effective_Other_HBsAg_Freq="trimestriel","T3",""))</f>
        <v/>
      </c>
      <c r="B373" s="93" t="str">
        <f>IF(HBV_Other_Population="","",IF(Effective_Other_HBsAg_Freq="trimestriel",2,""))</f>
        <v/>
      </c>
      <c r="C373" s="14" t="str">
        <f t="shared" si="23"/>
        <v/>
      </c>
      <c r="D373" s="93" t="str">
        <f>IF(HBV_Other_Population="","",IF(Effective_Other_HBsAg_Freq="trimestriel",HBV_Other_Y2_Screening_Target,""))</f>
        <v/>
      </c>
      <c r="E373" s="14" t="str">
        <f>IF(HBV_Other_Population="","",IF(Effective_Other_HBsAg_Freq="trimestriel",Calc_HBsAgTests!E34,""))</f>
        <v/>
      </c>
      <c r="F373" s="14" t="str">
        <f>IF(HBV_Other_Population="","",IF(Effective_Other_HBsAg_Freq="trimestriel",Calc_HBsAgTests!F34,""))</f>
        <v/>
      </c>
      <c r="G373" s="14" t="str">
        <f>IF(HBV_Other_Population="","",IF(Effective_Other_HBsAg_Freq="trimestriel",Calc_HBsAgTests!G34,""))</f>
        <v/>
      </c>
      <c r="H373" s="14" t="str">
        <f>IF(HBV_Other_Population="","",IF(Effective_Other_HBsAg_Freq="trimestriel",Calc_HBsAgTests!H34,""))</f>
        <v/>
      </c>
      <c r="I373" s="14" t="str">
        <f>IF(HBV_Other_Population="","",IF(Effective_Other_HBsAg_Freq="trimestriel",Calc_HBsAgTests!I34,""))</f>
        <v/>
      </c>
      <c r="J373" s="14" t="str">
        <f>IF(HBV_Other_Population="","",IF(Effective_Other_HBsAg_Freq="trimestriel",Calc_HBsAgTests!J34,""))</f>
        <v/>
      </c>
      <c r="K373" s="13" t="str">
        <f t="shared" si="24"/>
        <v/>
      </c>
      <c r="L373" s="94" t="str">
        <f t="shared" si="25"/>
        <v/>
      </c>
    </row>
    <row r="374" spans="1:12" x14ac:dyDescent="0.35">
      <c r="A374" s="93" t="str">
        <f>IF(HBV_Other_Population="","",IF(Effective_Other_HBsAg_Freq="trimestriel","T4",""))</f>
        <v/>
      </c>
      <c r="B374" s="93" t="str">
        <f>IF(HBV_Other_Population="","",IF(Effective_Other_HBsAg_Freq="trimestriel",2,""))</f>
        <v/>
      </c>
      <c r="C374" s="14" t="str">
        <f t="shared" si="23"/>
        <v/>
      </c>
      <c r="D374" s="93" t="str">
        <f>IF(HBV_Other_Population="","",IF(Effective_Other_HBsAg_Freq="trimestriel",HBV_Other_Y2_Screening_Target,""))</f>
        <v/>
      </c>
      <c r="E374" s="14" t="str">
        <f>IF(HBV_Other_Population="","",IF(Effective_Other_HBsAg_Freq="trimestriel",Calc_HBsAgTests!E35,""))</f>
        <v/>
      </c>
      <c r="F374" s="14" t="str">
        <f>IF(HBV_Other_Population="","",IF(Effective_Other_HBsAg_Freq="trimestriel",Calc_HBsAgTests!F35,""))</f>
        <v/>
      </c>
      <c r="G374" s="14" t="str">
        <f>IF(HBV_Other_Population="","",IF(Effective_Other_HBsAg_Freq="trimestriel",Calc_HBsAgTests!G35,""))</f>
        <v/>
      </c>
      <c r="H374" s="14" t="str">
        <f>IF(HBV_Other_Population="","",IF(Effective_Other_HBsAg_Freq="trimestriel",Calc_HBsAgTests!H35,""))</f>
        <v/>
      </c>
      <c r="I374" s="14" t="str">
        <f>IF(HBV_Other_Population="","",IF(Effective_Other_HBsAg_Freq="trimestriel",Calc_HBsAgTests!I35,""))</f>
        <v/>
      </c>
      <c r="J374" s="14" t="str">
        <f>IF(HBV_Other_Population="","",IF(Effective_Other_HBsAg_Freq="trimestriel",Calc_HBsAgTests!J35,""))</f>
        <v/>
      </c>
      <c r="K374" s="13" t="str">
        <f t="shared" si="24"/>
        <v/>
      </c>
      <c r="L374" s="94" t="str">
        <f t="shared" si="25"/>
        <v/>
      </c>
    </row>
    <row r="375" spans="1:12" x14ac:dyDescent="0.35">
      <c r="A375" s="93" t="str">
        <f>IF(HBV_Other_Population="","",IF(Effective_Other_HBsAg_Freq="trimestriel","T1",""))</f>
        <v/>
      </c>
      <c r="B375" s="93" t="str">
        <f>IF(HBV_Other_Population="","",IF(Effective_Other_HBsAg_Freq="trimestriel",3,""))</f>
        <v/>
      </c>
      <c r="C375" s="14" t="str">
        <f t="shared" si="23"/>
        <v/>
      </c>
      <c r="D375" s="93" t="str">
        <f>IF(HBV_Other_Population="","",IF(Effective_Other_HBsAg_Freq="trimestriel",HBV_Other_Y3_Screening_Target,""))</f>
        <v/>
      </c>
      <c r="E375" s="14" t="str">
        <f>IF(HBV_Other_Population="","",IF(Effective_Other_HBsAg_Freq="trimestriel",Calc_HBsAgTests!E36,""))</f>
        <v/>
      </c>
      <c r="F375" s="14" t="str">
        <f>IF(HBV_Other_Population="","",IF(Effective_Other_HBsAg_Freq="trimestriel",Calc_HBsAgTests!F36,""))</f>
        <v/>
      </c>
      <c r="G375" s="14" t="str">
        <f>IF(HBV_Other_Population="","",IF(Effective_Other_HBsAg_Freq="trimestriel",Calc_HBsAgTests!G36,""))</f>
        <v/>
      </c>
      <c r="H375" s="14" t="str">
        <f>IF(HBV_Other_Population="","",IF(Effective_Other_HBsAg_Freq="trimestriel",Calc_HBsAgTests!H36,""))</f>
        <v/>
      </c>
      <c r="I375" s="14" t="str">
        <f>IF(HBV_Other_Population="","",IF(Effective_Other_HBsAg_Freq="trimestriel",Calc_HBsAgTests!I36,""))</f>
        <v/>
      </c>
      <c r="J375" s="14" t="str">
        <f>IF(HBV_Other_Population="","",IF(Effective_Other_HBsAg_Freq="trimestriel",Calc_HBsAgTests!J36,""))</f>
        <v/>
      </c>
      <c r="K375" s="13" t="str">
        <f t="shared" si="24"/>
        <v/>
      </c>
      <c r="L375" s="94" t="str">
        <f t="shared" si="25"/>
        <v/>
      </c>
    </row>
    <row r="376" spans="1:12" x14ac:dyDescent="0.35">
      <c r="A376" s="93" t="str">
        <f>IF(HBV_Other_Population="","",IF(Effective_Other_HBsAg_Freq="trimestriel","T2",""))</f>
        <v/>
      </c>
      <c r="B376" s="93" t="str">
        <f>IF(HBV_Other_Population="","",IF(Effective_Other_HBsAg_Freq="trimestriel",3,""))</f>
        <v/>
      </c>
      <c r="C376" s="14" t="str">
        <f t="shared" si="23"/>
        <v/>
      </c>
      <c r="D376" s="93" t="str">
        <f>IF(HBV_Other_Population="","",IF(Effective_Other_HBsAg_Freq="trimestriel",HBV_Other_Y3_Screening_Target,""))</f>
        <v/>
      </c>
      <c r="E376" s="14" t="str">
        <f>IF(HBV_Other_Population="","",IF(Effective_Other_HBsAg_Freq="trimestriel",Calc_HBsAgTests!E37,""))</f>
        <v/>
      </c>
      <c r="F376" s="14" t="str">
        <f>IF(HBV_Other_Population="","",IF(Effective_Other_HBsAg_Freq="trimestriel",Calc_HBsAgTests!F37,""))</f>
        <v/>
      </c>
      <c r="G376" s="14" t="str">
        <f>IF(HBV_Other_Population="","",IF(Effective_Other_HBsAg_Freq="trimestriel",Calc_HBsAgTests!G37,""))</f>
        <v/>
      </c>
      <c r="H376" s="14" t="str">
        <f>IF(HBV_Other_Population="","",IF(Effective_Other_HBsAg_Freq="trimestriel",Calc_HBsAgTests!H37,""))</f>
        <v/>
      </c>
      <c r="I376" s="14" t="str">
        <f>IF(HBV_Other_Population="","",IF(Effective_Other_HBsAg_Freq="trimestriel",Calc_HBsAgTests!I37,""))</f>
        <v/>
      </c>
      <c r="J376" s="14" t="str">
        <f>IF(HBV_Other_Population="","",IF(Effective_Other_HBsAg_Freq="trimestriel",Calc_HBsAgTests!J37,""))</f>
        <v/>
      </c>
      <c r="K376" s="13" t="str">
        <f t="shared" si="24"/>
        <v/>
      </c>
      <c r="L376" s="94" t="str">
        <f t="shared" si="25"/>
        <v/>
      </c>
    </row>
    <row r="377" spans="1:12" x14ac:dyDescent="0.35">
      <c r="A377" s="93" t="str">
        <f>IF(HBV_Other_Population="","",IF(Effective_Other_HBsAg_Freq="trimestriel","T3",""))</f>
        <v/>
      </c>
      <c r="B377" s="93" t="str">
        <f>IF(HBV_Other_Population="","",IF(Effective_Other_HBsAg_Freq="trimestriel",3,""))</f>
        <v/>
      </c>
      <c r="C377" s="14" t="str">
        <f t="shared" si="23"/>
        <v/>
      </c>
      <c r="D377" s="93" t="str">
        <f>IF(HBV_Other_Population="","",IF(Effective_Other_HBsAg_Freq="trimestriel",HBV_Other_Y3_Screening_Target,""))</f>
        <v/>
      </c>
      <c r="E377" s="14" t="str">
        <f>IF(HBV_Other_Population="","",IF(Effective_Other_HBsAg_Freq="trimestriel",Calc_HBsAgTests!E38,""))</f>
        <v/>
      </c>
      <c r="F377" s="14" t="str">
        <f>IF(HBV_Other_Population="","",IF(Effective_Other_HBsAg_Freq="trimestriel",Calc_HBsAgTests!F38,""))</f>
        <v/>
      </c>
      <c r="G377" s="14" t="str">
        <f>IF(HBV_Other_Population="","",IF(Effective_Other_HBsAg_Freq="trimestriel",Calc_HBsAgTests!G38,""))</f>
        <v/>
      </c>
      <c r="H377" s="14" t="str">
        <f>IF(HBV_Other_Population="","",IF(Effective_Other_HBsAg_Freq="trimestriel",Calc_HBsAgTests!H38,""))</f>
        <v/>
      </c>
      <c r="I377" s="14" t="str">
        <f>IF(HBV_Other_Population="","",IF(Effective_Other_HBsAg_Freq="trimestriel",Calc_HBsAgTests!I38,""))</f>
        <v/>
      </c>
      <c r="J377" s="14" t="str">
        <f>IF(HBV_Other_Population="","",IF(Effective_Other_HBsAg_Freq="trimestriel",Calc_HBsAgTests!J38,""))</f>
        <v/>
      </c>
      <c r="K377" s="13" t="str">
        <f t="shared" si="24"/>
        <v/>
      </c>
      <c r="L377" s="94" t="str">
        <f t="shared" si="25"/>
        <v/>
      </c>
    </row>
    <row r="378" spans="1:12" x14ac:dyDescent="0.35">
      <c r="A378" s="93" t="str">
        <f>IF(HBV_Other_Population="","",IF(Effective_Other_HBsAg_Freq="trimestriel","T4",""))</f>
        <v/>
      </c>
      <c r="B378" s="93" t="str">
        <f>IF(HBV_Other_Population="","",IF(Effective_Other_HBsAg_Freq="trimestriel",3,""))</f>
        <v/>
      </c>
      <c r="C378" s="14" t="str">
        <f t="shared" si="23"/>
        <v/>
      </c>
      <c r="D378" s="93" t="str">
        <f>IF(HBV_Other_Population="","",IF(Effective_Other_HBsAg_Freq="trimestriel",HBV_Other_Y3_Screening_Target,""))</f>
        <v/>
      </c>
      <c r="E378" s="14" t="str">
        <f>IF(HBV_Other_Population="","",IF(Effective_Other_HBsAg_Freq="trimestriel",Calc_HBsAgTests!E39,""))</f>
        <v/>
      </c>
      <c r="F378" s="14" t="str">
        <f>IF(HBV_Other_Population="","",IF(Effective_Other_HBsAg_Freq="trimestriel",Calc_HBsAgTests!F39,""))</f>
        <v/>
      </c>
      <c r="G378" s="14" t="str">
        <f>IF(HBV_Other_Population="","",IF(Effective_Other_HBsAg_Freq="trimestriel",Calc_HBsAgTests!G39,""))</f>
        <v/>
      </c>
      <c r="H378" s="14" t="str">
        <f>IF(HBV_Other_Population="","",IF(Effective_Other_HBsAg_Freq="trimestriel",Calc_HBsAgTests!H39,""))</f>
        <v/>
      </c>
      <c r="I378" s="14" t="str">
        <f>IF(HBV_Other_Population="","",IF(Effective_Other_HBsAg_Freq="trimestriel",Calc_HBsAgTests!I39,""))</f>
        <v/>
      </c>
      <c r="J378" s="14" t="str">
        <f>IF(HBV_Other_Population="","",IF(Effective_Other_HBsAg_Freq="trimestriel",Calc_HBsAgTests!J39,""))</f>
        <v/>
      </c>
      <c r="K378" s="13" t="str">
        <f t="shared" si="24"/>
        <v/>
      </c>
      <c r="L378" s="94" t="str">
        <f t="shared" si="25"/>
        <v/>
      </c>
    </row>
    <row r="379" spans="1:12" x14ac:dyDescent="0.35">
      <c r="A379" s="9"/>
      <c r="B379" s="9"/>
      <c r="C379" s="48"/>
      <c r="D379" s="9"/>
      <c r="E379" s="48"/>
      <c r="F379" s="48"/>
      <c r="G379" s="48"/>
      <c r="H379" s="48"/>
      <c r="I379" s="48"/>
      <c r="J379" s="95"/>
      <c r="K379" s="9"/>
      <c r="L379" s="95"/>
    </row>
    <row r="380" spans="1:12" x14ac:dyDescent="0.35">
      <c r="A380" s="24" t="str">
        <f>IF(HBV_Other_Population="","",IF(Effective_Other_HBsAg_Freq="trimestriel","Total Année 1",""))</f>
        <v/>
      </c>
      <c r="B380" s="105"/>
      <c r="C380" s="105"/>
      <c r="D380" s="105"/>
      <c r="E380" s="105"/>
      <c r="F380" s="106"/>
      <c r="G380" s="106"/>
      <c r="H380" s="107"/>
      <c r="I380" s="107"/>
      <c r="J380" s="107" t="str">
        <f>IF(HBV_Other_Population="","",IF(Effective_Other_HBsAg_Freq="trimestriel",SUM(J367:J370),""))</f>
        <v/>
      </c>
      <c r="K380" s="107"/>
      <c r="L380" s="107" t="str">
        <f>IF(HBV_Other_Population="","",IF(Effective_Other_HBsAg_Freq="trimestriel",SUM(L367:L370),""))</f>
        <v/>
      </c>
    </row>
    <row r="381" spans="1:12" x14ac:dyDescent="0.35">
      <c r="A381" s="24" t="str">
        <f>IF(HBV_Other_Population="","",IF(Effective_Other_HBsAg_Freq="trimestriel","Total Année 2",""))</f>
        <v/>
      </c>
      <c r="B381" s="105"/>
      <c r="C381" s="105"/>
      <c r="D381" s="105"/>
      <c r="E381" s="105"/>
      <c r="F381" s="106"/>
      <c r="G381" s="106"/>
      <c r="H381" s="107"/>
      <c r="I381" s="107"/>
      <c r="J381" s="107" t="str">
        <f>IF(HBV_Other_Population="","",IF(Effective_Other_HBsAg_Freq="trimestriel",SUM(J371:J374),""))</f>
        <v/>
      </c>
      <c r="K381" s="107"/>
      <c r="L381" s="107" t="str">
        <f>IF(HBV_Other_Population="","",IF(Effective_Other_HBsAg_Freq="trimestriel",SUM(L371:L374),""))</f>
        <v/>
      </c>
    </row>
    <row r="382" spans="1:12" x14ac:dyDescent="0.35">
      <c r="A382" s="24" t="str">
        <f>IF(HBV_Other_Population="","",IF(Effective_Other_HBsAg_Freq="trimestriel","Total Année 3",""))</f>
        <v/>
      </c>
      <c r="B382" s="105"/>
      <c r="C382" s="105"/>
      <c r="D382" s="105"/>
      <c r="E382" s="105"/>
      <c r="F382" s="106"/>
      <c r="G382" s="106"/>
      <c r="H382" s="107"/>
      <c r="I382" s="107"/>
      <c r="J382" s="107" t="str">
        <f>IF(HBV_Other_Population="","",IF(Effective_Other_HBsAg_Freq="trimestriel",SUM(J375:J378),""))</f>
        <v/>
      </c>
      <c r="K382" s="107"/>
      <c r="L382" s="107" t="str">
        <f>IF(HBV_Other_Population="","",IF(Effective_Other_HBsAg_Freq="trimestriel",SUM(L375:L378),""))</f>
        <v/>
      </c>
    </row>
    <row r="383" spans="1:12" x14ac:dyDescent="0.35">
      <c r="A383" s="9"/>
      <c r="B383" s="9"/>
      <c r="C383" s="9"/>
      <c r="D383" s="9"/>
      <c r="E383" s="9"/>
      <c r="F383" s="9"/>
      <c r="G383" s="9"/>
      <c r="H383" s="9"/>
      <c r="I383" s="9"/>
      <c r="J383" s="95"/>
      <c r="K383" s="9"/>
      <c r="L383" s="95"/>
    </row>
    <row r="384" spans="1:12" s="96" customFormat="1" ht="16" x14ac:dyDescent="0.4">
      <c r="A384" s="86" t="str">
        <f>IF(HBV_Other_Population="","",IF(Effective_Other_HBsAg_Freq="trimestriel","TOTAL SUR 3 ANS",""))</f>
        <v/>
      </c>
      <c r="B384" s="91"/>
      <c r="C384" s="91"/>
      <c r="D384" s="91"/>
      <c r="E384" s="91"/>
      <c r="F384" s="91"/>
      <c r="G384" s="91"/>
      <c r="H384" s="91"/>
      <c r="I384" s="91"/>
      <c r="J384" s="87" t="str">
        <f>IF(HBV_Other_Population="","",IF(Effective_Other_HBsAg_Freq="trimestriel",SUM(J380:J382),""))</f>
        <v/>
      </c>
      <c r="K384" s="91"/>
      <c r="L384" s="87" t="str">
        <f>IF(HBV_Other_Population="","",IF(Effective_Other_HBsAg_Freq="trimestriel",SUM(L380:L382),""))</f>
        <v/>
      </c>
    </row>
    <row r="386" spans="1:13" x14ac:dyDescent="0.35">
      <c r="A386" s="97" t="s">
        <v>100</v>
      </c>
      <c r="B386" s="98" t="str">
        <f>IF(HBV_Other_Population="","",IF(Effective_Other_HBsAg_Freq="Annuel",L344,IF(Effective_Other_HBsAg_Freq="semestriel",L359,IF(Effective_Other_HBsAg_Freq="trimestriel",L380,""))))</f>
        <v/>
      </c>
    </row>
    <row r="387" spans="1:13" x14ac:dyDescent="0.35">
      <c r="A387" s="97" t="s">
        <v>101</v>
      </c>
      <c r="B387" s="98" t="str">
        <f>IF(HBV_Other_Population="","",IF(Effective_Other_HBsAg_Freq="Annuel",L345,IF(Effective_Other_HBsAg_Freq="semestriel",L360,IF(Effective_Other_HBsAg_Freq="trimestriel",L381,""))))</f>
        <v/>
      </c>
    </row>
    <row r="388" spans="1:13" x14ac:dyDescent="0.35">
      <c r="A388" s="97" t="s">
        <v>102</v>
      </c>
      <c r="B388" s="98" t="str">
        <f>IF(HBV_Other_Population="","",IF(Effective_Other_HBsAg_Freq="Annuel",L346,IF(Effective_Other_HBsAg_Freq="semestriel",L361,IF(Effective_Other_HBsAg_Freq="trimestriel",L382,""))))</f>
        <v/>
      </c>
    </row>
    <row r="389" spans="1:13" x14ac:dyDescent="0.35">
      <c r="A389" s="97" t="s">
        <v>103</v>
      </c>
      <c r="B389" s="98" t="str">
        <f>IFERROR(B386+B387+B388,"")</f>
        <v/>
      </c>
    </row>
    <row r="390" spans="1:13" ht="15" thickBot="1" x14ac:dyDescent="0.4"/>
    <row r="391" spans="1:13" ht="16.5" thickBot="1" x14ac:dyDescent="0.45">
      <c r="A391" s="374" t="s">
        <v>575</v>
      </c>
      <c r="B391" s="375"/>
      <c r="C391" s="375"/>
      <c r="D391" s="375"/>
      <c r="E391" s="375"/>
      <c r="F391" s="375"/>
      <c r="G391" s="375"/>
      <c r="H391" s="375"/>
      <c r="I391" s="375"/>
      <c r="J391" s="375"/>
      <c r="K391" s="375"/>
      <c r="L391" s="375"/>
      <c r="M391" s="376"/>
    </row>
    <row r="393" spans="1:13" x14ac:dyDescent="0.35">
      <c r="A393" s="163" t="s">
        <v>536</v>
      </c>
    </row>
    <row r="394" spans="1:13" ht="58" x14ac:dyDescent="0.35">
      <c r="A394" s="58" t="s">
        <v>537</v>
      </c>
      <c r="B394" s="58" t="s">
        <v>538</v>
      </c>
      <c r="C394" s="57" t="s">
        <v>572</v>
      </c>
      <c r="D394" s="57" t="s">
        <v>540</v>
      </c>
      <c r="E394" s="57" t="s">
        <v>573</v>
      </c>
      <c r="F394" s="57" t="s">
        <v>542</v>
      </c>
      <c r="G394" s="57" t="s">
        <v>543</v>
      </c>
      <c r="H394" s="57" t="s">
        <v>544</v>
      </c>
      <c r="I394" s="57" t="s">
        <v>545</v>
      </c>
      <c r="J394" s="57" t="s">
        <v>546</v>
      </c>
      <c r="K394" s="57" t="s">
        <v>547</v>
      </c>
      <c r="L394" s="57" t="s">
        <v>548</v>
      </c>
    </row>
    <row r="395" spans="1:13" x14ac:dyDescent="0.35">
      <c r="A395" s="36" t="str">
        <f>IF(Other_Population="","",IF(Effective_Other_TripleTest_Freq="Annuel","Année 1",""))</f>
        <v/>
      </c>
      <c r="B395" s="13" t="str">
        <f>IF(Other_Population="","",IF(Effective_Other_TripleTest_Freq="Annuel",1,""))</f>
        <v/>
      </c>
      <c r="C395" s="14" t="str">
        <f>IF(Other_Population="","",IF(Effective_Other_TripleTest_Freq="Annuel",Other_Population,""))</f>
        <v/>
      </c>
      <c r="D395" s="14" t="str">
        <f>IF(Other_Population="","",IF(Effective_Other_TripleTest_Freq="Annuel",Other_Y1_Screening_Target,""))</f>
        <v/>
      </c>
      <c r="E395" s="14" t="str">
        <f>IF(Other_Population="","",IF(Effective_Other_TripleTest_Freq="Annuel",Calc_TripleTests!E41,""))</f>
        <v/>
      </c>
      <c r="F395" s="14" t="str">
        <f>IF(Other_Population="","",IF(Effective_Other_TripleTest_Freq="Annuel",Calc_TripleTests!F41,""))</f>
        <v/>
      </c>
      <c r="G395" s="14" t="str">
        <f>IF(Other_Population="","",IF(Effective_Other_TripleTest_Freq="Annuel",Calc_TripleTests!G41,""))</f>
        <v/>
      </c>
      <c r="H395" s="14" t="str">
        <f>IF(Other_Population="","",IF(Effective_Other_TripleTest_Freq="Annuel",Calc_TripleTests!H41,""))</f>
        <v/>
      </c>
      <c r="I395" s="14" t="str">
        <f>IF(Other_Population="","",IF(Effective_Other_TripleTest_Freq="Annuel",Calc_TripleTests!I41,""))</f>
        <v/>
      </c>
      <c r="J395" s="14" t="str">
        <f>IF(Other_Population="","",IF(Effective_Other_TripleTest_Freq="Annuel",Calc_TripleTests!J41,""))</f>
        <v/>
      </c>
      <c r="K395" s="13" t="str">
        <f>IF(Other_Population="","",IF(Effective_Other_TripleTest_Freq="Annuel",TripleTest_PackSize,""))</f>
        <v/>
      </c>
      <c r="L395" s="14" t="str">
        <f>IF(Other_Population="","",IF(Effective_Other_TripleTest_Freq="Annuel",IF(TripleTest_PackSize="","Enter pack size",CEILING(Calc_TripleTests!J41/TripleTest_PackSize,1)),""))</f>
        <v/>
      </c>
    </row>
    <row r="396" spans="1:13" x14ac:dyDescent="0.35">
      <c r="A396" s="36" t="str">
        <f>IF(Other_Population="","",IF(Effective_Other_TripleTest_Freq="Annuel","Année 2",""))</f>
        <v/>
      </c>
      <c r="B396" s="13" t="str">
        <f>IF(Other_Population="","",IF(Effective_Other_TripleTest_Freq="Annuel",2,""))</f>
        <v/>
      </c>
      <c r="C396" s="14" t="str">
        <f>IF(Other_Population="","",IF(Effective_Other_TripleTest_Freq="Annuel",Other_Population,""))</f>
        <v/>
      </c>
      <c r="D396" s="14" t="str">
        <f>IF(Other_Population="","",IF(Effective_Other_TripleTest_Freq="Annuel",Other_Y2_Screening_Target,""))</f>
        <v/>
      </c>
      <c r="E396" s="14" t="str">
        <f>IF(Other_Population="","",IF(Effective_Other_TripleTest_Freq="Annuel",Calc_TripleTests!E42,""))</f>
        <v/>
      </c>
      <c r="F396" s="14" t="str">
        <f>IF(Other_Population="","",IF(Effective_Other_TripleTest_Freq="Annuel",Calc_TripleTests!F42,""))</f>
        <v/>
      </c>
      <c r="G396" s="14" t="str">
        <f>IF(Other_Population="","",IF(Effective_Other_TripleTest_Freq="Annuel",Calc_TripleTests!G42,""))</f>
        <v/>
      </c>
      <c r="H396" s="14" t="str">
        <f>IF(Other_Population="","",IF(Effective_Other_TripleTest_Freq="Annuel",Calc_TripleTests!H42,""))</f>
        <v/>
      </c>
      <c r="I396" s="14" t="str">
        <f>IF(Other_Population="","",IF(Effective_Other_TripleTest_Freq="Annuel",Calc_TripleTests!I42,""))</f>
        <v/>
      </c>
      <c r="J396" s="14" t="str">
        <f>IF(Other_Population="","",IF(Effective_Other_TripleTest_Freq="Annuel",Calc_TripleTests!J42,""))</f>
        <v/>
      </c>
      <c r="K396" s="13" t="str">
        <f>IF(Other_Population="","",IF(Effective_Other_TripleTest_Freq="Annuel",TripleTest_PackSize,""))</f>
        <v/>
      </c>
      <c r="L396" s="14" t="str">
        <f>IF(Other_Population="","",IF(Effective_Other_TripleTest_Freq="Annuel",IF(TripleTest_PackSize="","Enter pack size",CEILING(Calc_TripleTests!J42/TripleTest_PackSize,1)),""))</f>
        <v/>
      </c>
    </row>
    <row r="397" spans="1:13" x14ac:dyDescent="0.35">
      <c r="A397" s="36" t="str">
        <f>IF(Other_Population="","",IF(Effective_Other_TripleTest_Freq="Annuel","Année 3",""))</f>
        <v/>
      </c>
      <c r="B397" s="13" t="str">
        <f>IF(Other_Population="","",IF(Effective_Other_TripleTest_Freq="Annuel",3,""))</f>
        <v/>
      </c>
      <c r="C397" s="14" t="str">
        <f>IF(Other_Population="","",IF(Effective_Other_TripleTest_Freq="Annuel",Other_Population,""))</f>
        <v/>
      </c>
      <c r="D397" s="14" t="str">
        <f>IF(Other_Population="","",IF(Effective_Other_TripleTest_Freq="Annuel",Other_Y3_Screening_Target,""))</f>
        <v/>
      </c>
      <c r="E397" s="14" t="str">
        <f>IF(Other_Population="","",IF(Effective_Other_TripleTest_Freq="Annuel",Calc_TripleTests!E43,""))</f>
        <v/>
      </c>
      <c r="F397" s="14" t="str">
        <f>IF(Other_Population="","",IF(Effective_Other_TripleTest_Freq="Annuel",Calc_TripleTests!F43,""))</f>
        <v/>
      </c>
      <c r="G397" s="14" t="str">
        <f>IF(Other_Population="","",IF(Effective_Other_TripleTest_Freq="Annuel",Calc_TripleTests!G43,""))</f>
        <v/>
      </c>
      <c r="H397" s="14" t="str">
        <f>IF(Other_Population="","",IF(Effective_Other_TripleTest_Freq="Annuel",Calc_TripleTests!H43,""))</f>
        <v/>
      </c>
      <c r="I397" s="14" t="str">
        <f>IF(Other_Population="","",IF(Effective_Other_TripleTest_Freq="Annuel",Calc_TripleTests!I43,""))</f>
        <v/>
      </c>
      <c r="J397" s="14" t="str">
        <f>IF(Other_Population="","",IF(Effective_Other_TripleTest_Freq="Annuel",Calc_TripleTests!J43,""))</f>
        <v/>
      </c>
      <c r="K397" s="13" t="str">
        <f>IF(Other_Population="","",IF(Effective_Other_TripleTest_Freq="Annuel",TripleTest_PackSize,""))</f>
        <v/>
      </c>
      <c r="L397" s="14" t="str">
        <f>IF(Other_Population="","",IF(Effective_Other_TripleTest_Freq="Annuel",IF(TripleTest_PackSize="","Enter pack size",CEILING(Calc_TripleTests!J43/TripleTest_PackSize,1)),""))</f>
        <v/>
      </c>
    </row>
    <row r="399" spans="1:13" s="96" customFormat="1" ht="16" x14ac:dyDescent="0.4">
      <c r="A399" s="86" t="str">
        <f>IF(Other_Population="","",IF(Effective_Other_TripleTest_Freq="Annuel","TOTAL SUR 3 ANS",""))</f>
        <v/>
      </c>
      <c r="B399" s="91"/>
      <c r="C399" s="91"/>
      <c r="D399" s="91"/>
      <c r="E399" s="91"/>
      <c r="F399" s="91"/>
      <c r="G399" s="91"/>
      <c r="H399" s="91"/>
      <c r="I399" s="91"/>
      <c r="J399" s="87" t="str">
        <f>IF(Other_Population="","",IF(Effective_Other_TripleTest_Freq="Annuel",Calc_TripleTests!J45,""))</f>
        <v/>
      </c>
      <c r="K399" s="91"/>
      <c r="L399" s="87" t="str">
        <f>IF(Other_Population="","",IF(Effective_Other_TripleTest_Freq="Annuel",SUM(L395:L397),""))</f>
        <v/>
      </c>
    </row>
    <row r="401" spans="1:12" ht="16" x14ac:dyDescent="0.4">
      <c r="A401" s="163" t="s">
        <v>549</v>
      </c>
      <c r="B401" s="92"/>
      <c r="C401" s="92"/>
      <c r="D401" s="92"/>
      <c r="E401" s="92"/>
      <c r="F401" s="92"/>
      <c r="G401" s="92"/>
      <c r="H401" s="92"/>
      <c r="I401" s="92"/>
      <c r="J401" s="80"/>
      <c r="K401" s="92"/>
      <c r="L401" s="80"/>
    </row>
    <row r="402" spans="1:12" ht="58" x14ac:dyDescent="0.35">
      <c r="A402" s="58" t="s">
        <v>537</v>
      </c>
      <c r="B402" s="58" t="s">
        <v>538</v>
      </c>
      <c r="C402" s="57" t="s">
        <v>572</v>
      </c>
      <c r="D402" s="57" t="s">
        <v>540</v>
      </c>
      <c r="E402" s="57" t="s">
        <v>573</v>
      </c>
      <c r="F402" s="57" t="s">
        <v>542</v>
      </c>
      <c r="G402" s="57" t="s">
        <v>543</v>
      </c>
      <c r="H402" s="57" t="s">
        <v>544</v>
      </c>
      <c r="I402" s="57" t="s">
        <v>545</v>
      </c>
      <c r="J402" s="57" t="s">
        <v>546</v>
      </c>
      <c r="K402" s="57" t="s">
        <v>547</v>
      </c>
      <c r="L402" s="57" t="s">
        <v>548</v>
      </c>
    </row>
    <row r="403" spans="1:12" x14ac:dyDescent="0.35">
      <c r="A403" s="93" t="str">
        <f>IF(Other_Population="","",IF(Effective_Other_TripleTest_Freq="semestriel","S1",""))</f>
        <v/>
      </c>
      <c r="B403" s="93" t="str">
        <f>IF(Other_Population="","",IF(Effective_Other_TripleTest_Freq="semestriel",1,""))</f>
        <v/>
      </c>
      <c r="C403" s="14" t="str">
        <f t="shared" ref="C403:C408" si="26">IF(Other_Population="","",IF(Effective_Other_TripleTest_Freq="semestriel",Other_Population/2,""))</f>
        <v/>
      </c>
      <c r="D403" s="93" t="str">
        <f>IF(Other_Population="","",IF(Effective_Other_TripleTest_Freq="semestriel",Other_Y1_Screening_Target,""))</f>
        <v/>
      </c>
      <c r="E403" s="14" t="str">
        <f>IF(Other_Population="","",IF(Effective_Other_TripleTest_Freq="semestriel",Calc_TripleTests!E28+Calc_TripleTests!E29,""))</f>
        <v/>
      </c>
      <c r="F403" s="14" t="str">
        <f>IF(Other_Population="","",IF(Effective_Other_TripleTest_Freq="semestriel",Calc_TripleTests!F28+Calc_TripleTests!F29,""))</f>
        <v/>
      </c>
      <c r="G403" s="14" t="str">
        <f>IF(Other_Population="","",IF(Effective_Other_TripleTest_Freq="semestriel",Calc_TripleTests!G28+Calc_TripleTests!G29,""))</f>
        <v/>
      </c>
      <c r="H403" s="14" t="str">
        <f>IF(Other_Population="","",IF(Effective_Other_TripleTest_Freq="semestriel",Calc_TripleTests!S28+Calc_TripleTests!S29,""))</f>
        <v/>
      </c>
      <c r="I403" s="14" t="str">
        <f>IF(Other_Population="","",IF(Effective_Other_TripleTest_Freq="semestriel",Calc_TripleTests!I28+Calc_TripleTests!I29,""))</f>
        <v/>
      </c>
      <c r="J403" s="94" t="str">
        <f>IF(Other_Population="","",IF(Effective_Other_TripleTest_Freq="semestriel",Calc_TripleTests!J28+Calc_TripleTests!J29,""))</f>
        <v/>
      </c>
      <c r="K403" s="13" t="str">
        <f t="shared" ref="K403:K408" si="27">IF(Other_Population="","",IF(Effective_Other_TripleTest_Freq="semestriel",TripleTest_PackSize,""))</f>
        <v/>
      </c>
      <c r="L403" s="94" t="str">
        <f>IF(Other_Population="","",IF(Effective_Other_TripleTest_Freq="semestriel",IF(TripleTest_PackSize="","Enter pack size",CEILING((Calc_TripleTests!J28+Calc_TripleTests!J29)/TripleTest_PackSize,1)),""))</f>
        <v/>
      </c>
    </row>
    <row r="404" spans="1:12" x14ac:dyDescent="0.35">
      <c r="A404" s="93" t="str">
        <f>IF(Other_Population="","",IF(Effective_Other_TripleTest_Freq="semestriel","S2",""))</f>
        <v/>
      </c>
      <c r="B404" s="93" t="str">
        <f>IF(Other_Population="","",IF(Effective_Other_TripleTest_Freq="semestriel",1,""))</f>
        <v/>
      </c>
      <c r="C404" s="14" t="str">
        <f t="shared" si="26"/>
        <v/>
      </c>
      <c r="D404" s="93" t="str">
        <f>IF(Other_Population="","",IF(Effective_Other_TripleTest_Freq="semestriel",Other_Y1_Screening_Target,""))</f>
        <v/>
      </c>
      <c r="E404" s="14" t="str">
        <f>IF(Other_Population="","",IF(Effective_Other_TripleTest_Freq="semestriel",Calc_TripleTests!E30+Calc_TripleTests!E31,""))</f>
        <v/>
      </c>
      <c r="F404" s="14" t="str">
        <f>IF(Other_Population="","",IF(Effective_Other_TripleTest_Freq="semestriel",Calc_TripleTests!F30+Calc_TripleTests!F31,""))</f>
        <v/>
      </c>
      <c r="G404" s="14" t="str">
        <f>IF(Other_Population="","",IF(Effective_Other_TripleTest_Freq="semestriel",Calc_TripleTests!G30+Calc_TripleTests!G31,""))</f>
        <v/>
      </c>
      <c r="H404" s="14" t="str">
        <f>IF(Other_Population="","",IF(Effective_Other_TripleTest_Freq="semestriel",Calc_TripleTests!H30+Calc_TripleTests!H31,""))</f>
        <v/>
      </c>
      <c r="I404" s="14" t="str">
        <f>IF(Other_Population="","",IF(Effective_Other_TripleTest_Freq="semestriel",Calc_TripleTests!I30+Calc_TripleTests!I31,""))</f>
        <v/>
      </c>
      <c r="J404" s="94" t="str">
        <f>IF(Other_Population="","",IF(Effective_Other_TripleTest_Freq="semestriel",Calc_TripleTests!J30+Calc_TripleTests!J31,""))</f>
        <v/>
      </c>
      <c r="K404" s="13" t="str">
        <f t="shared" si="27"/>
        <v/>
      </c>
      <c r="L404" s="94" t="str">
        <f>IF(Other_Population="","",IF(Effective_Other_TripleTest_Freq="semestriel",IF(TripleTest_PackSize="","Enter pack size",CEILING((Calc_TripleTests!J30+Calc_TripleTests!J31)/TripleTest_PackSize,1)),""))</f>
        <v/>
      </c>
    </row>
    <row r="405" spans="1:12" x14ac:dyDescent="0.35">
      <c r="A405" s="93" t="str">
        <f>IF(Other_Population="","",IF(Effective_Other_TripleTest_Freq="semestriel","S1",""))</f>
        <v/>
      </c>
      <c r="B405" s="93" t="str">
        <f>IF(Other_Population="","",IF(Effective_Other_TripleTest_Freq="semestriel",2,""))</f>
        <v/>
      </c>
      <c r="C405" s="14" t="str">
        <f t="shared" si="26"/>
        <v/>
      </c>
      <c r="D405" s="93" t="str">
        <f>IF(Other_Population="","",IF(Effective_Other_TripleTest_Freq="semestriel",Other_Y2_Screening_Target,""))</f>
        <v/>
      </c>
      <c r="E405" s="14" t="str">
        <f>IF(Other_Population="","",IF(Effective_Other_TripleTest_Freq="semestriel",Calc_TripleTests!E32+Calc_TripleTests!E33,""))</f>
        <v/>
      </c>
      <c r="F405" s="14" t="str">
        <f>IF(Other_Population="","",IF(Effective_Other_TripleTest_Freq="semestriel",Calc_TripleTests!F32+Calc_TripleTests!F33,""))</f>
        <v/>
      </c>
      <c r="G405" s="14" t="str">
        <f>IF(Other_Population="","",IF(Effective_Other_TripleTest_Freq="semestriel",Calc_TripleTests!G32+Calc_TripleTests!G33,""))</f>
        <v/>
      </c>
      <c r="H405" s="14" t="str">
        <f>IF(Other_Population="","",IF(Effective_Other_TripleTest_Freq="semestriel",Calc_TripleTests!H32+Calc_TripleTests!H33,""))</f>
        <v/>
      </c>
      <c r="I405" s="14" t="str">
        <f>IF(Other_Population="","",IF(Effective_Other_TripleTest_Freq="semestriel",Calc_TripleTests!I32+Calc_TripleTests!I33,""))</f>
        <v/>
      </c>
      <c r="J405" s="94" t="str">
        <f>IF(Other_Population="","",IF(Effective_Other_TripleTest_Freq="semestriel",Calc_TripleTests!J32+Calc_TripleTests!J33,""))</f>
        <v/>
      </c>
      <c r="K405" s="13" t="str">
        <f t="shared" si="27"/>
        <v/>
      </c>
      <c r="L405" s="94" t="str">
        <f>IF(Other_Population="","",IF(Effective_Other_TripleTest_Freq="semestriel",IF(TripleTest_PackSize="","Enter pack size",CEILING((Calc_TripleTests!J32+Calc_TripleTests!J33)/TripleTest_PackSize,1)),""))</f>
        <v/>
      </c>
    </row>
    <row r="406" spans="1:12" x14ac:dyDescent="0.35">
      <c r="A406" s="93" t="str">
        <f>IF(Other_Population="","",IF(Effective_Other_TripleTest_Freq="semestriel","S2",""))</f>
        <v/>
      </c>
      <c r="B406" s="93" t="str">
        <f>IF(Other_Population="","",IF(Effective_Other_TripleTest_Freq="semestriel",2,""))</f>
        <v/>
      </c>
      <c r="C406" s="14" t="str">
        <f t="shared" si="26"/>
        <v/>
      </c>
      <c r="D406" s="93" t="str">
        <f>IF(Other_Population="","",IF(Effective_Other_TripleTest_Freq="semestriel",Other_Y2_Screening_Target,""))</f>
        <v/>
      </c>
      <c r="E406" s="14" t="str">
        <f>IF(Other_Population="","",IF(Effective_Other_TripleTest_Freq="semestriel",Calc_TripleTests!E34+Calc_TripleTests!E35,""))</f>
        <v/>
      </c>
      <c r="F406" s="14" t="str">
        <f>IF(Other_Population="","",IF(Effective_Other_TripleTest_Freq="semestriel",Calc_TripleTests!F34+Calc_TripleTests!F35,""))</f>
        <v/>
      </c>
      <c r="G406" s="14" t="str">
        <f>IF(Other_Population="","",IF(Effective_Other_TripleTest_Freq="semestriel",Calc_TripleTests!G34+Calc_TripleTests!G35,""))</f>
        <v/>
      </c>
      <c r="H406" s="14" t="str">
        <f>IF(Other_Population="","",IF(Effective_Other_TripleTest_Freq="semestriel",Calc_TripleTests!H34+Calc_TripleTests!H35,""))</f>
        <v/>
      </c>
      <c r="I406" s="14" t="str">
        <f>IF(Other_Population="","",IF(Effective_Other_TripleTest_Freq="semestriel",Calc_TripleTests!I34+Calc_TripleTests!I35,""))</f>
        <v/>
      </c>
      <c r="J406" s="94" t="str">
        <f>IF(Other_Population="","",IF(Effective_Other_TripleTest_Freq="semestriel",Calc_TripleTests!J34+Calc_TripleTests!J35,""))</f>
        <v/>
      </c>
      <c r="K406" s="13" t="str">
        <f t="shared" si="27"/>
        <v/>
      </c>
      <c r="L406" s="94" t="str">
        <f>IF(Other_Population="","",IF(Effective_Other_TripleTest_Freq="semestriel",IF(TripleTest_PackSize="","Enter pack size",CEILING((Calc_TripleTests!J34+Calc_TripleTests!J35)/TripleTest_PackSize,1)),""))</f>
        <v/>
      </c>
    </row>
    <row r="407" spans="1:12" x14ac:dyDescent="0.35">
      <c r="A407" s="93" t="str">
        <f>IF(Other_Population="","",IF(Effective_Other_TripleTest_Freq="semestriel","S1",""))</f>
        <v/>
      </c>
      <c r="B407" s="93" t="str">
        <f>IF(Other_Population="","",IF(Effective_Other_TripleTest_Freq="semestriel",3,""))</f>
        <v/>
      </c>
      <c r="C407" s="14" t="str">
        <f t="shared" si="26"/>
        <v/>
      </c>
      <c r="D407" s="93" t="str">
        <f>IF(Other_Population="","",IF(Effective_Other_TripleTest_Freq="semestriel",Other_Y3_Screening_Target,""))</f>
        <v/>
      </c>
      <c r="E407" s="14" t="str">
        <f>IF(Other_Population="","",IF(Effective_Other_TripleTest_Freq="semestriel",Calc_TripleTests!E36+Calc_TripleTests!E37,""))</f>
        <v/>
      </c>
      <c r="F407" s="14" t="str">
        <f>IF(Other_Population="","",IF(Effective_Other_TripleTest_Freq="semestriel",Calc_TripleTests!F36+Calc_TripleTests!F37,""))</f>
        <v/>
      </c>
      <c r="G407" s="14" t="str">
        <f>IF(Other_Population="","",IF(Effective_Other_TripleTest_Freq="semestriel",Calc_TripleTests!G36+Calc_TripleTests!G37,""))</f>
        <v/>
      </c>
      <c r="H407" s="14" t="str">
        <f>IF(Other_Population="","",IF(Effective_Other_TripleTest_Freq="semestriel",Calc_TripleTests!H36+Calc_TripleTests!H37,""))</f>
        <v/>
      </c>
      <c r="I407" s="14" t="str">
        <f>IF(Other_Population="","",IF(Effective_Other_TripleTest_Freq="semestriel",Calc_TripleTests!I36+Calc_TripleTests!I37,""))</f>
        <v/>
      </c>
      <c r="J407" s="94" t="str">
        <f>IF(Other_Population="","",IF(Effective_Other_TripleTest_Freq="semestriel",Calc_TripleTests!J36+Calc_TripleTests!J37,""))</f>
        <v/>
      </c>
      <c r="K407" s="13" t="str">
        <f t="shared" si="27"/>
        <v/>
      </c>
      <c r="L407" s="94" t="str">
        <f>IF(Other_Population="","",IF(Effective_Other_TripleTest_Freq="semestriel",IF(TripleTest_PackSize="","Enter pack size",CEILING((Calc_TripleTests!J36+Calc_TripleTests!J37)/TripleTest_PackSize,1)),""))</f>
        <v/>
      </c>
    </row>
    <row r="408" spans="1:12" x14ac:dyDescent="0.35">
      <c r="A408" s="93" t="str">
        <f>IF(Other_Population="","",IF(Effective_Other_TripleTest_Freq="semestriel","S2",""))</f>
        <v/>
      </c>
      <c r="B408" s="93" t="str">
        <f>IF(Other_Population="","",IF(Effective_Other_TripleTest_Freq="semestriel",3,""))</f>
        <v/>
      </c>
      <c r="C408" s="14" t="str">
        <f t="shared" si="26"/>
        <v/>
      </c>
      <c r="D408" s="93" t="str">
        <f>IF(Other_Population="","",IF(Effective_Other_TripleTest_Freq="semestriel",Other_Y3_Screening_Target,""))</f>
        <v/>
      </c>
      <c r="E408" s="14" t="str">
        <f>IF(Other_Population="","",IF(Effective_Other_TripleTest_Freq="semestriel",Calc_TripleTests!E38+Calc_TripleTests!E39,""))</f>
        <v/>
      </c>
      <c r="F408" s="14" t="str">
        <f>IF(Other_Population="","",IF(Effective_Other_TripleTest_Freq="semestriel",Calc_TripleTests!F38+Calc_TripleTests!F39,""))</f>
        <v/>
      </c>
      <c r="G408" s="14" t="str">
        <f>IF(Other_Population="","",IF(Effective_Other_TripleTest_Freq="semestriel",Calc_TripleTests!G38+Calc_TripleTests!G39,""))</f>
        <v/>
      </c>
      <c r="H408" s="14" t="str">
        <f>IF(Other_Population="","",IF(Effective_Other_TripleTest_Freq="semestriel",Calc_TripleTests!H38+Calc_TripleTests!H39,""))</f>
        <v/>
      </c>
      <c r="I408" s="14" t="str">
        <f>IF(Other_Population="","",IF(Effective_Other_TripleTest_Freq="semestriel",Calc_TripleTests!I38+Calc_TripleTests!I39,""))</f>
        <v/>
      </c>
      <c r="J408" s="94" t="str">
        <f>IF(Other_Population="","",IF(Effective_Other_TripleTest_Freq="semestriel",Calc_TripleTests!J38+Calc_TripleTests!J39,""))</f>
        <v/>
      </c>
      <c r="K408" s="13" t="str">
        <f t="shared" si="27"/>
        <v/>
      </c>
      <c r="L408" s="94" t="str">
        <f>IF(Other_Population="","",IF(Effective_Other_TripleTest_Freq="semestriel",IF(TripleTest_PackSize="","Enter pack size",CEILING((Calc_TripleTests!J38+Calc_TripleTests!J39)/TripleTest_PackSize,1)),""))</f>
        <v/>
      </c>
    </row>
    <row r="409" spans="1:12" x14ac:dyDescent="0.35">
      <c r="A409" s="9"/>
      <c r="B409" s="9"/>
      <c r="C409" s="48"/>
      <c r="D409" s="9"/>
      <c r="E409" s="48"/>
      <c r="F409" s="48"/>
      <c r="G409" s="48"/>
      <c r="H409" s="48"/>
      <c r="I409" s="48"/>
      <c r="J409" s="95"/>
      <c r="K409" s="9"/>
      <c r="L409" s="95"/>
    </row>
    <row r="410" spans="1:12" x14ac:dyDescent="0.35">
      <c r="A410" s="24" t="str">
        <f>IF(Other_Population="","",IF(Effective_Other_TripleTest_Freq="semestriel","Total Année 1",""))</f>
        <v/>
      </c>
      <c r="B410" s="105"/>
      <c r="C410" s="105"/>
      <c r="D410" s="105"/>
      <c r="E410" s="105"/>
      <c r="F410" s="106"/>
      <c r="G410" s="106"/>
      <c r="H410" s="107"/>
      <c r="I410" s="107"/>
      <c r="J410" s="107" t="str">
        <f>IF(Other_Population="","",IF(Effective_Other_TripleTest_Freq="semestriel",J404+J405,""))</f>
        <v/>
      </c>
      <c r="K410" s="107"/>
      <c r="L410" s="107" t="str">
        <f>IF(Other_Population="","",IF(Effective_Other_TripleTest_Freq="semestriel",L403+L404,""))</f>
        <v/>
      </c>
    </row>
    <row r="411" spans="1:12" x14ac:dyDescent="0.35">
      <c r="A411" s="24" t="str">
        <f>IF(Other_Population="","",IF(Effective_Other_TripleTest_Freq="semestriel","Total Année 2",""))</f>
        <v/>
      </c>
      <c r="B411" s="105"/>
      <c r="C411" s="105"/>
      <c r="D411" s="105"/>
      <c r="E411" s="105"/>
      <c r="F411" s="106"/>
      <c r="G411" s="106"/>
      <c r="H411" s="107"/>
      <c r="I411" s="107"/>
      <c r="J411" s="107" t="str">
        <f>IF(Other_Population="","",IF(Effective_Other_TripleTest_Freq="semestriel",J405+J406,""))</f>
        <v/>
      </c>
      <c r="K411" s="107"/>
      <c r="L411" s="107" t="str">
        <f>IF(Other_Population="","",IF(Effective_Other_TripleTest_Freq="semestriel",L405+L406,""))</f>
        <v/>
      </c>
    </row>
    <row r="412" spans="1:12" x14ac:dyDescent="0.35">
      <c r="A412" s="24" t="str">
        <f>IF(Other_Population="","",IF(Effective_Other_TripleTest_Freq="semestriel","Total Année 3",""))</f>
        <v/>
      </c>
      <c r="B412" s="105"/>
      <c r="C412" s="105"/>
      <c r="D412" s="105"/>
      <c r="E412" s="105"/>
      <c r="F412" s="106"/>
      <c r="G412" s="106"/>
      <c r="H412" s="107"/>
      <c r="I412" s="107"/>
      <c r="J412" s="107" t="str">
        <f>IF(Other_Population="","",IF(Effective_Other_TripleTest_Freq="semestriel",J406+J407,""))</f>
        <v/>
      </c>
      <c r="K412" s="107"/>
      <c r="L412" s="107" t="str">
        <f>IF(Other_Population="","",IF(Effective_Other_TripleTest_Freq="semestriel",L407+L408,""))</f>
        <v/>
      </c>
    </row>
    <row r="413" spans="1:12" x14ac:dyDescent="0.35">
      <c r="A413" s="9"/>
      <c r="B413" s="9"/>
      <c r="C413" s="9"/>
      <c r="D413" s="9"/>
      <c r="E413" s="9"/>
      <c r="F413" s="9"/>
      <c r="G413" s="9"/>
      <c r="H413" s="9"/>
      <c r="I413" s="9"/>
      <c r="J413" s="95"/>
      <c r="K413" s="9"/>
      <c r="L413" s="95"/>
    </row>
    <row r="414" spans="1:12" s="96" customFormat="1" ht="16" x14ac:dyDescent="0.4">
      <c r="A414" s="86" t="str">
        <f>IF(Other_Population="","",IF(Effective_Other_TripleTest_Freq="semestriel","TOTAL SUR 3 ANS",""))</f>
        <v/>
      </c>
      <c r="B414" s="91"/>
      <c r="C414" s="91"/>
      <c r="D414" s="91"/>
      <c r="E414" s="91"/>
      <c r="F414" s="91"/>
      <c r="G414" s="91"/>
      <c r="H414" s="91"/>
      <c r="I414" s="91"/>
      <c r="J414" s="87" t="str">
        <f>IF(Other_Population="","",IF(Effective_Other_TripleTest_Freq="semestriel",Calc_TripleTests!J45,""))</f>
        <v/>
      </c>
      <c r="K414" s="91"/>
      <c r="L414" s="87" t="str">
        <f>IF(Other_Population="","",IF(Effective_Other_TripleTest_Freq="semestriel",SUM(L410:L412),""))</f>
        <v/>
      </c>
    </row>
    <row r="416" spans="1:12" x14ac:dyDescent="0.35">
      <c r="A416" s="163" t="s">
        <v>550</v>
      </c>
    </row>
    <row r="417" spans="1:12" ht="43.5" x14ac:dyDescent="0.35">
      <c r="A417" s="58" t="s">
        <v>56</v>
      </c>
      <c r="B417" s="58" t="s">
        <v>20</v>
      </c>
      <c r="C417" s="57" t="s">
        <v>120</v>
      </c>
      <c r="D417" s="57" t="s">
        <v>21</v>
      </c>
      <c r="E417" s="57" t="s">
        <v>65</v>
      </c>
      <c r="F417" s="57" t="s">
        <v>47</v>
      </c>
      <c r="G417" s="57" t="s">
        <v>57</v>
      </c>
      <c r="H417" s="57" t="s">
        <v>58</v>
      </c>
      <c r="I417" s="57" t="s">
        <v>59</v>
      </c>
      <c r="J417" s="57" t="s">
        <v>60</v>
      </c>
      <c r="K417" s="57" t="s">
        <v>61</v>
      </c>
      <c r="L417" s="57" t="s">
        <v>62</v>
      </c>
    </row>
    <row r="418" spans="1:12" x14ac:dyDescent="0.35">
      <c r="A418" s="93" t="str">
        <f>IF(Other_Population="","",IF(Effective_Other_TripleTest_Freq="trimestriel","T1",""))</f>
        <v/>
      </c>
      <c r="B418" s="93" t="str">
        <f>IF(Other_Population="","",IF(Effective_Other_TripleTest_Freq="trimestriel",1,""))</f>
        <v/>
      </c>
      <c r="C418" s="14" t="str">
        <f t="shared" ref="C418:C429" si="28">IF(Other_Population="","",IF(Effective_Other_TripleTest_Freq="trimestriel",Other_Population/4,""))</f>
        <v/>
      </c>
      <c r="D418" s="93" t="str">
        <f>IF(Other_Population="","",IF(Effective_Other_TripleTest_Freq="trimestriel",Other_Y1_Screening_Target,""))</f>
        <v/>
      </c>
      <c r="E418" s="14" t="str">
        <f>IF(Other_Population="","",IF(Effective_Other_TripleTest_Freq="trimestriel",Calc_TripleTests!E28,""))</f>
        <v/>
      </c>
      <c r="F418" s="14" t="str">
        <f>IF(Other_Population="","",IF(Effective_Other_TripleTest_Freq="trimestriel",Calc_TripleTests!F28,""))</f>
        <v/>
      </c>
      <c r="G418" s="14" t="str">
        <f>IF(Other_Population="","",IF(Effective_Other_TripleTest_Freq="trimestriel",Calc_TripleTests!G28,""))</f>
        <v/>
      </c>
      <c r="H418" s="14" t="str">
        <f>IF(Other_Population="","",IF(Effective_Other_TripleTest_Freq="trimestriel",Calc_TripleTests!S28,""))</f>
        <v/>
      </c>
      <c r="I418" s="14" t="str">
        <f>IF(Other_Population="","",IF(Effective_Other_TripleTest_Freq="trimestriel",Calc_TripleTests!I28,""))</f>
        <v/>
      </c>
      <c r="J418" s="94" t="str">
        <f>IF(Other_Population="","",IF(Effective_Other_TripleTest_Freq="trimestriel",Calc_TripleTests!J28,""))</f>
        <v/>
      </c>
      <c r="K418" s="13" t="str">
        <f t="shared" ref="K418:K429" si="29">IF(Other_Population="","",IF(Effective_Other_TripleTest_Freq="trimestriel",TripleTest_PackSize,""))</f>
        <v/>
      </c>
      <c r="L418" s="94" t="str">
        <f>IF(Other_Population="","",IF(Effective_Other_TripleTest_Freq="trimestriel",IF(TripleTest_PackSize="","Enter pack size",CEILING(Calc_TripleTests!J28/TripleTest_PackSize,1)),""))</f>
        <v/>
      </c>
    </row>
    <row r="419" spans="1:12" x14ac:dyDescent="0.35">
      <c r="A419" s="93" t="str">
        <f>IF(Other_Population="","",IF(Effective_Other_TripleTest_Freq="trimestriel","T2",""))</f>
        <v/>
      </c>
      <c r="B419" s="93" t="str">
        <f>IF(Other_Population="","",IF(Effective_Other_TripleTest_Freq="trimestriel",1,""))</f>
        <v/>
      </c>
      <c r="C419" s="14" t="str">
        <f t="shared" si="28"/>
        <v/>
      </c>
      <c r="D419" s="93" t="str">
        <f>IF(Other_Population="","",IF(Effective_Other_TripleTest_Freq="trimestriel",Other_Y1_Screening_Target,""))</f>
        <v/>
      </c>
      <c r="E419" s="14" t="str">
        <f>IF(Other_Population="","",IF(Effective_Other_TripleTest_Freq="trimestriel",Calc_TripleTests!E29,""))</f>
        <v/>
      </c>
      <c r="F419" s="14" t="str">
        <f>IF(Other_Population="","",IF(Effective_Other_TripleTest_Freq="trimestriel",Calc_TripleTests!F29,""))</f>
        <v/>
      </c>
      <c r="G419" s="14" t="str">
        <f>IF(Other_Population="","",IF(Effective_Other_TripleTest_Freq="trimestriel",Calc_TripleTests!G29,""))</f>
        <v/>
      </c>
      <c r="H419" s="14" t="str">
        <f>IF(Other_Population="","",IF(Effective_Other_TripleTest_Freq="trimestriel",Calc_TripleTests!S29,""))</f>
        <v/>
      </c>
      <c r="I419" s="14" t="str">
        <f>IF(Other_Population="","",IF(Effective_Other_TripleTest_Freq="trimestriel",Calc_TripleTests!I29,""))</f>
        <v/>
      </c>
      <c r="J419" s="94" t="str">
        <f>IF(Other_Population="","",IF(Effective_Other_TripleTest_Freq="trimestriel",Calc_TripleTests!J29,""))</f>
        <v/>
      </c>
      <c r="K419" s="13" t="str">
        <f t="shared" si="29"/>
        <v/>
      </c>
      <c r="L419" s="94" t="str">
        <f>IF(Other_Population="","",IF(Effective_Other_TripleTest_Freq="trimestriel",IF(TripleTest_PackSize="","Enter pack size",CEILING(Calc_TripleTests!J29/TripleTest_PackSize,1)),""))</f>
        <v/>
      </c>
    </row>
    <row r="420" spans="1:12" x14ac:dyDescent="0.35">
      <c r="A420" s="93" t="str">
        <f>IF(Other_Population="","",IF(Effective_Other_TripleTest_Freq="trimestriel","T3",""))</f>
        <v/>
      </c>
      <c r="B420" s="93" t="str">
        <f>IF(Other_Population="","",IF(Effective_Other_TripleTest_Freq="trimestriel",1,""))</f>
        <v/>
      </c>
      <c r="C420" s="14" t="str">
        <f t="shared" si="28"/>
        <v/>
      </c>
      <c r="D420" s="93" t="str">
        <f>IF(Other_Population="","",IF(Effective_Other_TripleTest_Freq="trimestriel",Other_Y1_Screening_Target,""))</f>
        <v/>
      </c>
      <c r="E420" s="14" t="str">
        <f>IF(Other_Population="","",IF(Effective_Other_TripleTest_Freq="trimestriel",Calc_TripleTests!E30,""))</f>
        <v/>
      </c>
      <c r="F420" s="14" t="str">
        <f>IF(Other_Population="","",IF(Effective_Other_TripleTest_Freq="trimestriel",Calc_TripleTests!F30,""))</f>
        <v/>
      </c>
      <c r="G420" s="14" t="str">
        <f>IF(Other_Population="","",IF(Effective_Other_TripleTest_Freq="trimestriel",Calc_TripleTests!G30,""))</f>
        <v/>
      </c>
      <c r="H420" s="14" t="str">
        <f>IF(Other_Population="","",IF(Effective_Other_TripleTest_Freq="trimestriel",Calc_TripleTests!H30,""))</f>
        <v/>
      </c>
      <c r="I420" s="14" t="str">
        <f>IF(Other_Population="","",IF(Effective_Other_TripleTest_Freq="trimestriel",Calc_TripleTests!I30,""))</f>
        <v/>
      </c>
      <c r="J420" s="94" t="str">
        <f>IF(Other_Population="","",IF(Effective_Other_TripleTest_Freq="trimestriel",Calc_TripleTests!J30,""))</f>
        <v/>
      </c>
      <c r="K420" s="13" t="str">
        <f t="shared" si="29"/>
        <v/>
      </c>
      <c r="L420" s="94" t="str">
        <f>IF(Other_Population="","",IF(Effective_Other_TripleTest_Freq="trimestriel",IF(TripleTest_PackSize="","Enter pack size",CEILING(Calc_TripleTests!J30/TripleTest_PackSize,1)),""))</f>
        <v/>
      </c>
    </row>
    <row r="421" spans="1:12" x14ac:dyDescent="0.35">
      <c r="A421" s="93" t="str">
        <f>IF(Other_Population="","",IF(Effective_Other_TripleTest_Freq="trimestriel","T4",""))</f>
        <v/>
      </c>
      <c r="B421" s="93" t="str">
        <f>IF(Other_Population="","",IF(Effective_Other_TripleTest_Freq="trimestriel",1,""))</f>
        <v/>
      </c>
      <c r="C421" s="14" t="str">
        <f t="shared" si="28"/>
        <v/>
      </c>
      <c r="D421" s="93" t="str">
        <f>IF(Other_Population="","",IF(Effective_Other_TripleTest_Freq="trimestriel",Other_Y1_Screening_Target,""))</f>
        <v/>
      </c>
      <c r="E421" s="14" t="str">
        <f>IF(Other_Population="","",IF(Effective_Other_TripleTest_Freq="trimestriel",Calc_TripleTests!E31,""))</f>
        <v/>
      </c>
      <c r="F421" s="14" t="str">
        <f>IF(Other_Population="","",IF(Effective_Other_TripleTest_Freq="trimestriel",Calc_TripleTests!F31,""))</f>
        <v/>
      </c>
      <c r="G421" s="14" t="str">
        <f>IF(Other_Population="","",IF(Effective_Other_TripleTest_Freq="trimestriel",Calc_TripleTests!G31,""))</f>
        <v/>
      </c>
      <c r="H421" s="14" t="str">
        <f>IF(Other_Population="","",IF(Effective_Other_TripleTest_Freq="trimestriel",Calc_TripleTests!H31,""))</f>
        <v/>
      </c>
      <c r="I421" s="14" t="str">
        <f>IF(Other_Population="","",IF(Effective_Other_TripleTest_Freq="trimestriel",Calc_TripleTests!I31,""))</f>
        <v/>
      </c>
      <c r="J421" s="94" t="str">
        <f>IF(Other_Population="","",IF(Effective_Other_TripleTest_Freq="trimestriel",Calc_TripleTests!J31,""))</f>
        <v/>
      </c>
      <c r="K421" s="13" t="str">
        <f t="shared" si="29"/>
        <v/>
      </c>
      <c r="L421" s="94" t="str">
        <f>IF(Other_Population="","",IF(Effective_Other_TripleTest_Freq="trimestriel",IF(TripleTest_PackSize="","Enter pack size",CEILING(Calc_TripleTests!J31/TripleTest_PackSize,1)),""))</f>
        <v/>
      </c>
    </row>
    <row r="422" spans="1:12" x14ac:dyDescent="0.35">
      <c r="A422" s="93" t="str">
        <f>IF(Other_Population="","",IF(Effective_Other_TripleTest_Freq="trimestriel","T1",""))</f>
        <v/>
      </c>
      <c r="B422" s="93" t="str">
        <f>IF(Other_Population="","",IF(Effective_Other_TripleTest_Freq="trimestriel",2,""))</f>
        <v/>
      </c>
      <c r="C422" s="14" t="str">
        <f t="shared" si="28"/>
        <v/>
      </c>
      <c r="D422" s="93" t="str">
        <f>IF(Other_Population="","",IF(Effective_Other_TripleTest_Freq="trimestriel",Other_Y2_Screening_Target,""))</f>
        <v/>
      </c>
      <c r="E422" s="14" t="str">
        <f>IF(Other_Population="","",IF(Effective_Other_TripleTest_Freq="trimestriel",Calc_TripleTests!E32,""))</f>
        <v/>
      </c>
      <c r="F422" s="14" t="str">
        <f>IF(Other_Population="","",IF(Effective_Other_TripleTest_Freq="trimestriel",Calc_TripleTests!F32,""))</f>
        <v/>
      </c>
      <c r="G422" s="14" t="str">
        <f>IF(Other_Population="","",IF(Effective_Other_TripleTest_Freq="trimestriel",Calc_TripleTests!G32,""))</f>
        <v/>
      </c>
      <c r="H422" s="14" t="str">
        <f>IF(Other_Population="","",IF(Effective_Other_TripleTest_Freq="trimestriel",Calc_TripleTests!H32,""))</f>
        <v/>
      </c>
      <c r="I422" s="14" t="str">
        <f>IF(Other_Population="","",IF(Effective_Other_TripleTest_Freq="trimestriel",Calc_TripleTests!I32,""))</f>
        <v/>
      </c>
      <c r="J422" s="94" t="str">
        <f>IF(Other_Population="","",IF(Effective_Other_TripleTest_Freq="trimestriel",Calc_TripleTests!J32,""))</f>
        <v/>
      </c>
      <c r="K422" s="13" t="str">
        <f t="shared" si="29"/>
        <v/>
      </c>
      <c r="L422" s="94" t="str">
        <f>IF(Other_Population="","",IF(Effective_Other_TripleTest_Freq="trimestriel",IF(TripleTest_PackSize="","Enter pack size",CEILING(Calc_TripleTests!J32/TripleTest_PackSize,1)),""))</f>
        <v/>
      </c>
    </row>
    <row r="423" spans="1:12" x14ac:dyDescent="0.35">
      <c r="A423" s="93" t="str">
        <f>IF(Other_Population="","",IF(Effective_Other_TripleTest_Freq="trimestriel","T2",""))</f>
        <v/>
      </c>
      <c r="B423" s="93" t="str">
        <f>IF(Other_Population="","",IF(Effective_Other_TripleTest_Freq="trimestriel",2,""))</f>
        <v/>
      </c>
      <c r="C423" s="14" t="str">
        <f t="shared" si="28"/>
        <v/>
      </c>
      <c r="D423" s="93" t="str">
        <f>IF(Other_Population="","",IF(Effective_Other_TripleTest_Freq="trimestriel",Other_Y2_Screening_Target,""))</f>
        <v/>
      </c>
      <c r="E423" s="14" t="str">
        <f>IF(Other_Population="","",IF(Effective_Other_TripleTest_Freq="trimestriel",Calc_TripleTests!E33,""))</f>
        <v/>
      </c>
      <c r="F423" s="14" t="str">
        <f>IF(Other_Population="","",IF(Effective_Other_TripleTest_Freq="trimestriel",Calc_TripleTests!F33,""))</f>
        <v/>
      </c>
      <c r="G423" s="14" t="str">
        <f>IF(Other_Population="","",IF(Effective_Other_TripleTest_Freq="trimestriel",Calc_TripleTests!G33,""))</f>
        <v/>
      </c>
      <c r="H423" s="14" t="str">
        <f>IF(Other_Population="","",IF(Effective_Other_TripleTest_Freq="trimestriel",Calc_TripleTests!H33,""))</f>
        <v/>
      </c>
      <c r="I423" s="14" t="str">
        <f>IF(Other_Population="","",IF(Effective_Other_TripleTest_Freq="trimestriel",Calc_TripleTests!I33,""))</f>
        <v/>
      </c>
      <c r="J423" s="94" t="str">
        <f>IF(Other_Population="","",IF(Effective_Other_TripleTest_Freq="trimestriel",Calc_TripleTests!J33,""))</f>
        <v/>
      </c>
      <c r="K423" s="13" t="str">
        <f t="shared" si="29"/>
        <v/>
      </c>
      <c r="L423" s="94" t="str">
        <f>IF(Other_Population="","",IF(Effective_Other_TripleTest_Freq="trimestriel",IF(TripleTest_PackSize="","Enter pack size",CEILING(Calc_TripleTests!J33/TripleTest_PackSize,1)),""))</f>
        <v/>
      </c>
    </row>
    <row r="424" spans="1:12" x14ac:dyDescent="0.35">
      <c r="A424" s="93" t="str">
        <f>IF(Other_Population="","",IF(Effective_Other_TripleTest_Freq="trimestriel","T3",""))</f>
        <v/>
      </c>
      <c r="B424" s="93" t="str">
        <f>IF(Other_Population="","",IF(Effective_Other_TripleTest_Freq="trimestriel",2,""))</f>
        <v/>
      </c>
      <c r="C424" s="14" t="str">
        <f t="shared" si="28"/>
        <v/>
      </c>
      <c r="D424" s="93" t="str">
        <f>IF(Other_Population="","",IF(Effective_Other_TripleTest_Freq="trimestriel",Other_Y2_Screening_Target,""))</f>
        <v/>
      </c>
      <c r="E424" s="14" t="str">
        <f>IF(Other_Population="","",IF(Effective_Other_TripleTest_Freq="trimestriel",Calc_TripleTests!E34,""))</f>
        <v/>
      </c>
      <c r="F424" s="14" t="str">
        <f>IF(Other_Population="","",IF(Effective_Other_TripleTest_Freq="trimestriel",Calc_TripleTests!F34,""))</f>
        <v/>
      </c>
      <c r="G424" s="14" t="str">
        <f>IF(Other_Population="","",IF(Effective_Other_TripleTest_Freq="trimestriel",Calc_TripleTests!G34,""))</f>
        <v/>
      </c>
      <c r="H424" s="14" t="str">
        <f>IF(Other_Population="","",IF(Effective_Other_TripleTest_Freq="trimestriel",Calc_TripleTests!H34,""))</f>
        <v/>
      </c>
      <c r="I424" s="14" t="str">
        <f>IF(Other_Population="","",IF(Effective_Other_TripleTest_Freq="trimestriel",Calc_TripleTests!I34,""))</f>
        <v/>
      </c>
      <c r="J424" s="94" t="str">
        <f>IF(Other_Population="","",IF(Effective_Other_TripleTest_Freq="trimestriel",Calc_TripleTests!J34,""))</f>
        <v/>
      </c>
      <c r="K424" s="13" t="str">
        <f t="shared" si="29"/>
        <v/>
      </c>
      <c r="L424" s="94" t="str">
        <f>IF(Other_Population="","",IF(Effective_Other_TripleTest_Freq="trimestriel",IF(TripleTest_PackSize="","Enter pack size",CEILING(Calc_TripleTests!J34/TripleTest_PackSize,1)),""))</f>
        <v/>
      </c>
    </row>
    <row r="425" spans="1:12" x14ac:dyDescent="0.35">
      <c r="A425" s="93" t="str">
        <f>IF(Other_Population="","",IF(Effective_Other_TripleTest_Freq="trimestriel","T4",""))</f>
        <v/>
      </c>
      <c r="B425" s="93" t="str">
        <f>IF(Other_Population="","",IF(Effective_Other_TripleTest_Freq="trimestriel",2,""))</f>
        <v/>
      </c>
      <c r="C425" s="14" t="str">
        <f t="shared" si="28"/>
        <v/>
      </c>
      <c r="D425" s="93" t="str">
        <f>IF(Other_Population="","",IF(Effective_Other_TripleTest_Freq="trimestriel",Other_Y2_Screening_Target,""))</f>
        <v/>
      </c>
      <c r="E425" s="14" t="str">
        <f>IF(Other_Population="","",IF(Effective_Other_TripleTest_Freq="trimestriel",Calc_TripleTests!E35,""))</f>
        <v/>
      </c>
      <c r="F425" s="14" t="str">
        <f>IF(Other_Population="","",IF(Effective_Other_TripleTest_Freq="trimestriel",Calc_TripleTests!F35,""))</f>
        <v/>
      </c>
      <c r="G425" s="14" t="str">
        <f>IF(Other_Population="","",IF(Effective_Other_TripleTest_Freq="trimestriel",Calc_TripleTests!G35,""))</f>
        <v/>
      </c>
      <c r="H425" s="14" t="str">
        <f>IF(Other_Population="","",IF(Effective_Other_TripleTest_Freq="trimestriel",Calc_TripleTests!H35,""))</f>
        <v/>
      </c>
      <c r="I425" s="14" t="str">
        <f>IF(Other_Population="","",IF(Effective_Other_TripleTest_Freq="trimestriel",Calc_TripleTests!I35,""))</f>
        <v/>
      </c>
      <c r="J425" s="94" t="str">
        <f>IF(Other_Population="","",IF(Effective_Other_TripleTest_Freq="trimestriel",Calc_TripleTests!J35,""))</f>
        <v/>
      </c>
      <c r="K425" s="13" t="str">
        <f t="shared" si="29"/>
        <v/>
      </c>
      <c r="L425" s="94" t="str">
        <f>IF(Other_Population="","",IF(Effective_Other_TripleTest_Freq="trimestriel",IF(TripleTest_PackSize="","Enter pack size",CEILING(Calc_TripleTests!J35/TripleTest_PackSize,1)),""))</f>
        <v/>
      </c>
    </row>
    <row r="426" spans="1:12" x14ac:dyDescent="0.35">
      <c r="A426" s="93" t="str">
        <f>IF(Other_Population="","",IF(Effective_Other_TripleTest_Freq="trimestriel","T1",""))</f>
        <v/>
      </c>
      <c r="B426" s="93" t="str">
        <f>IF(Other_Population="","",IF(Effective_Other_TripleTest_Freq="trimestriel",3,""))</f>
        <v/>
      </c>
      <c r="C426" s="14" t="str">
        <f t="shared" si="28"/>
        <v/>
      </c>
      <c r="D426" s="93" t="str">
        <f>IF(Other_Population="","",IF(Effective_Other_TripleTest_Freq="trimestriel",Other_Y3_Screening_Target,""))</f>
        <v/>
      </c>
      <c r="E426" s="14" t="str">
        <f>IF(Other_Population="","",IF(Effective_Other_TripleTest_Freq="trimestriel",Calc_TripleTests!E36,""))</f>
        <v/>
      </c>
      <c r="F426" s="14" t="str">
        <f>IF(Other_Population="","",IF(Effective_Other_TripleTest_Freq="trimestriel",Calc_TripleTests!F36,""))</f>
        <v/>
      </c>
      <c r="G426" s="14" t="str">
        <f>IF(Other_Population="","",IF(Effective_Other_TripleTest_Freq="trimestriel",Calc_TripleTests!G36,""))</f>
        <v/>
      </c>
      <c r="H426" s="14" t="str">
        <f>IF(Other_Population="","",IF(Effective_Other_TripleTest_Freq="trimestriel",Calc_TripleTests!H36,""))</f>
        <v/>
      </c>
      <c r="I426" s="14" t="str">
        <f>IF(Other_Population="","",IF(Effective_Other_TripleTest_Freq="trimestriel",Calc_TripleTests!I36,""))</f>
        <v/>
      </c>
      <c r="J426" s="94" t="str">
        <f>IF(Other_Population="","",IF(Effective_Other_TripleTest_Freq="trimestriel",Calc_TripleTests!J36,""))</f>
        <v/>
      </c>
      <c r="K426" s="13" t="str">
        <f t="shared" si="29"/>
        <v/>
      </c>
      <c r="L426" s="94" t="str">
        <f>IF(Other_Population="","",IF(Effective_Other_TripleTest_Freq="trimestriel",IF(TripleTest_PackSize="","Enter pack size",CEILING(Calc_TripleTests!J36/TripleTest_PackSize,1)),""))</f>
        <v/>
      </c>
    </row>
    <row r="427" spans="1:12" x14ac:dyDescent="0.35">
      <c r="A427" s="93" t="str">
        <f>IF(Other_Population="","",IF(Effective_Other_TripleTest_Freq="trimestriel","T2",""))</f>
        <v/>
      </c>
      <c r="B427" s="93" t="str">
        <f>IF(Other_Population="","",IF(Effective_Other_TripleTest_Freq="trimestriel",3,""))</f>
        <v/>
      </c>
      <c r="C427" s="14" t="str">
        <f t="shared" si="28"/>
        <v/>
      </c>
      <c r="D427" s="93" t="str">
        <f>IF(Other_Population="","",IF(Effective_Other_TripleTest_Freq="trimestriel",Other_Y3_Screening_Target,""))</f>
        <v/>
      </c>
      <c r="E427" s="14" t="str">
        <f>IF(Other_Population="","",IF(Effective_Other_TripleTest_Freq="trimestriel",Calc_TripleTests!E37,""))</f>
        <v/>
      </c>
      <c r="F427" s="14" t="str">
        <f>IF(Other_Population="","",IF(Effective_Other_TripleTest_Freq="trimestriel",Calc_TripleTests!F37,""))</f>
        <v/>
      </c>
      <c r="G427" s="14" t="str">
        <f>IF(Other_Population="","",IF(Effective_Other_TripleTest_Freq="trimestriel",Calc_TripleTests!G37,""))</f>
        <v/>
      </c>
      <c r="H427" s="14" t="str">
        <f>IF(Other_Population="","",IF(Effective_Other_TripleTest_Freq="trimestriel",Calc_TripleTests!H37,""))</f>
        <v/>
      </c>
      <c r="I427" s="14" t="str">
        <f>IF(Other_Population="","",IF(Effective_Other_TripleTest_Freq="trimestriel",Calc_TripleTests!I37,""))</f>
        <v/>
      </c>
      <c r="J427" s="94" t="str">
        <f>IF(Other_Population="","",IF(Effective_Other_TripleTest_Freq="trimestriel",Calc_TripleTests!J37,""))</f>
        <v/>
      </c>
      <c r="K427" s="13" t="str">
        <f t="shared" si="29"/>
        <v/>
      </c>
      <c r="L427" s="94" t="str">
        <f>IF(Other_Population="","",IF(Effective_Other_TripleTest_Freq="trimestriel",IF(TripleTest_PackSize="","Enter pack size",CEILING(Calc_TripleTests!J37/TripleTest_PackSize,1)),""))</f>
        <v/>
      </c>
    </row>
    <row r="428" spans="1:12" x14ac:dyDescent="0.35">
      <c r="A428" s="93" t="str">
        <f>IF(Other_Population="","",IF(Effective_Other_TripleTest_Freq="trimestriel","T3",""))</f>
        <v/>
      </c>
      <c r="B428" s="93" t="str">
        <f>IF(Other_Population="","",IF(Effective_Other_TripleTest_Freq="trimestriel",3,""))</f>
        <v/>
      </c>
      <c r="C428" s="14" t="str">
        <f t="shared" si="28"/>
        <v/>
      </c>
      <c r="D428" s="93" t="str">
        <f>IF(Other_Population="","",IF(Effective_Other_TripleTest_Freq="trimestriel",Other_Y3_Screening_Target,""))</f>
        <v/>
      </c>
      <c r="E428" s="14" t="str">
        <f>IF(Other_Population="","",IF(Effective_Other_TripleTest_Freq="trimestriel",Calc_TripleTests!E38,""))</f>
        <v/>
      </c>
      <c r="F428" s="14" t="str">
        <f>IF(Other_Population="","",IF(Effective_Other_TripleTest_Freq="trimestriel",Calc_TripleTests!F38,""))</f>
        <v/>
      </c>
      <c r="G428" s="14" t="str">
        <f>IF(Other_Population="","",IF(Effective_Other_TripleTest_Freq="trimestriel",Calc_TripleTests!G38,""))</f>
        <v/>
      </c>
      <c r="H428" s="14" t="str">
        <f>IF(Other_Population="","",IF(Effective_Other_TripleTest_Freq="trimestriel",Calc_TripleTests!H38,""))</f>
        <v/>
      </c>
      <c r="I428" s="14" t="str">
        <f>IF(Other_Population="","",IF(Effective_Other_TripleTest_Freq="trimestriel",Calc_TripleTests!I38,""))</f>
        <v/>
      </c>
      <c r="J428" s="94" t="str">
        <f>IF(Other_Population="","",IF(Effective_Other_TripleTest_Freq="trimestriel",Calc_TripleTests!J38,""))</f>
        <v/>
      </c>
      <c r="K428" s="13" t="str">
        <f t="shared" si="29"/>
        <v/>
      </c>
      <c r="L428" s="94" t="str">
        <f>IF(Other_Population="","",IF(Effective_Other_TripleTest_Freq="trimestriel",IF(TripleTest_PackSize="","Enter pack size",CEILING(Calc_TripleTests!J38/TripleTest_PackSize,1)),""))</f>
        <v/>
      </c>
    </row>
    <row r="429" spans="1:12" x14ac:dyDescent="0.35">
      <c r="A429" s="93" t="str">
        <f>IF(Other_Population="","",IF(Effective_Other_TripleTest_Freq="trimestriel","T4",""))</f>
        <v/>
      </c>
      <c r="B429" s="93" t="str">
        <f>IF(Other_Population="","",IF(Effective_Other_TripleTest_Freq="trimestriel",3,""))</f>
        <v/>
      </c>
      <c r="C429" s="14" t="str">
        <f t="shared" si="28"/>
        <v/>
      </c>
      <c r="D429" s="93" t="str">
        <f>IF(Other_Population="","",IF(Effective_Other_TripleTest_Freq="trimestriel",Other_Y3_Screening_Target,""))</f>
        <v/>
      </c>
      <c r="E429" s="14" t="str">
        <f>IF(Other_Population="","",IF(Effective_Other_TripleTest_Freq="trimestriel",Calc_TripleTests!E39,""))</f>
        <v/>
      </c>
      <c r="F429" s="14" t="str">
        <f>IF(Other_Population="","",IF(Effective_Other_TripleTest_Freq="trimestriel",Calc_TripleTests!F39,""))</f>
        <v/>
      </c>
      <c r="G429" s="14" t="str">
        <f>IF(Other_Population="","",IF(Effective_Other_TripleTest_Freq="trimestriel",Calc_TripleTests!G39,""))</f>
        <v/>
      </c>
      <c r="H429" s="14" t="str">
        <f>IF(Other_Population="","",IF(Effective_Other_TripleTest_Freq="trimestriel",Calc_TripleTests!H39,""))</f>
        <v/>
      </c>
      <c r="I429" s="14" t="str">
        <f>IF(Other_Population="","",IF(Effective_Other_TripleTest_Freq="trimestriel",Calc_TripleTests!I39,""))</f>
        <v/>
      </c>
      <c r="J429" s="94" t="str">
        <f>IF(Other_Population="","",IF(Effective_Other_TripleTest_Freq="trimestriel",Calc_TripleTests!J39,""))</f>
        <v/>
      </c>
      <c r="K429" s="13" t="str">
        <f t="shared" si="29"/>
        <v/>
      </c>
      <c r="L429" s="94" t="str">
        <f>IF(Other_Population="","",IF(Effective_Other_TripleTest_Freq="trimestriel",IF(TripleTest_PackSize="","Enter pack size",CEILING(Calc_TripleTests!J39/TripleTest_PackSize,1)),""))</f>
        <v/>
      </c>
    </row>
    <row r="430" spans="1:12" x14ac:dyDescent="0.35">
      <c r="A430" s="9"/>
      <c r="B430" s="9"/>
      <c r="C430" s="48"/>
      <c r="D430" s="9"/>
      <c r="E430" s="48"/>
      <c r="F430" s="48"/>
      <c r="G430" s="48"/>
      <c r="H430" s="48"/>
      <c r="I430" s="48"/>
      <c r="J430" s="95"/>
      <c r="K430" s="9"/>
      <c r="L430" s="95"/>
    </row>
    <row r="431" spans="1:12" x14ac:dyDescent="0.35">
      <c r="A431" s="24" t="str">
        <f>IF(Other_Population="","",IF(Effective_Other_TripleTest_Freq="trimestriel","Total Année 1",""))</f>
        <v/>
      </c>
      <c r="B431" s="105"/>
      <c r="C431" s="105"/>
      <c r="D431" s="105"/>
      <c r="E431" s="105"/>
      <c r="F431" s="106"/>
      <c r="G431" s="106"/>
      <c r="H431" s="107"/>
      <c r="I431" s="107"/>
      <c r="J431" s="107" t="str">
        <f>IF(Other_Population="","",IF(Effective_Other_TripleTest_Freq="trimestriel",Calc_TripleTests!J41,""))</f>
        <v/>
      </c>
      <c r="K431" s="107"/>
      <c r="L431" s="107" t="str">
        <f>IF(Other_Population="","",IF(Effective_Other_TripleTest_Freq="trimestriel",SUM(L418:L421),""))</f>
        <v/>
      </c>
    </row>
    <row r="432" spans="1:12" x14ac:dyDescent="0.35">
      <c r="A432" s="24" t="str">
        <f>IF(Other_Population="","",IF(Effective_Other_TripleTest_Freq="trimestriel","Total Année 2",""))</f>
        <v/>
      </c>
      <c r="B432" s="105"/>
      <c r="C432" s="105"/>
      <c r="D432" s="105"/>
      <c r="E432" s="105"/>
      <c r="F432" s="106"/>
      <c r="G432" s="106"/>
      <c r="H432" s="107"/>
      <c r="I432" s="107"/>
      <c r="J432" s="107" t="str">
        <f>IF(Other_Population="","",IF(Effective_Other_TripleTest_Freq="trimestriel",Calc_TripleTests!J42,""))</f>
        <v/>
      </c>
      <c r="K432" s="107"/>
      <c r="L432" s="107" t="str">
        <f>IF(Other_Population="","",IF(Effective_Other_TripleTest_Freq="trimestriel",SUM(L422:L425),""))</f>
        <v/>
      </c>
    </row>
    <row r="433" spans="1:13" x14ac:dyDescent="0.35">
      <c r="A433" s="24" t="str">
        <f>IF(Other_Population="","",IF(Effective_Other_TripleTest_Freq="trimestriel","Total Année 3",""))</f>
        <v/>
      </c>
      <c r="B433" s="105"/>
      <c r="C433" s="105"/>
      <c r="D433" s="105"/>
      <c r="E433" s="105"/>
      <c r="F433" s="106"/>
      <c r="G433" s="106"/>
      <c r="H433" s="107"/>
      <c r="I433" s="107"/>
      <c r="J433" s="107" t="str">
        <f>IF(Other_Population="","",IF(Effective_Other_TripleTest_Freq="trimestriel",Calc_TripleTests!J43,""))</f>
        <v/>
      </c>
      <c r="K433" s="107"/>
      <c r="L433" s="107" t="str">
        <f>IF(Other_Population="","",IF(Effective_Other_TripleTest_Freq="trimestriel",SUM(L426:L429),""))</f>
        <v/>
      </c>
    </row>
    <row r="434" spans="1:13" x14ac:dyDescent="0.35">
      <c r="A434" s="9"/>
      <c r="B434" s="9"/>
      <c r="C434" s="9"/>
      <c r="D434" s="9"/>
      <c r="E434" s="9"/>
      <c r="F434" s="9"/>
      <c r="G434" s="9"/>
      <c r="H434" s="9"/>
      <c r="I434" s="9"/>
      <c r="J434" s="95"/>
      <c r="K434" s="9"/>
      <c r="L434" s="95"/>
    </row>
    <row r="435" spans="1:13" s="96" customFormat="1" ht="16" x14ac:dyDescent="0.4">
      <c r="A435" s="86" t="str">
        <f>IF(Other_Population="","",IF(Effective_Other_TripleTest_Freq="trimestriel","TOTAL SUR 3 ANS",""))</f>
        <v/>
      </c>
      <c r="B435" s="91"/>
      <c r="C435" s="91"/>
      <c r="D435" s="91"/>
      <c r="E435" s="91"/>
      <c r="F435" s="91"/>
      <c r="G435" s="91"/>
      <c r="H435" s="91"/>
      <c r="I435" s="91"/>
      <c r="J435" s="87" t="str">
        <f>IF(Other_Population="","",IF(Effective_Other_TripleTest_Freq="trimestriel",Calc_TripleTests!J45,""))</f>
        <v/>
      </c>
      <c r="K435" s="91"/>
      <c r="L435" s="87" t="str">
        <f>IF(Other_Population="","",IF(Effective_Other_TripleTest_Freq="trimestriel",SUM(L431:L433),""))</f>
        <v/>
      </c>
    </row>
    <row r="437" spans="1:13" x14ac:dyDescent="0.35">
      <c r="A437" s="97" t="s">
        <v>74</v>
      </c>
      <c r="B437" s="98" t="str">
        <f>IF(Other_Population="","",IF(Effective_Other_TripleTest_Freq="Annuel",L395,IF(Effective_Other_TripleTest_Freq="semestriel",L410,IF(Effective_Other_TripleTest_Freq="trimestriel",L431,""))))</f>
        <v/>
      </c>
    </row>
    <row r="438" spans="1:13" x14ac:dyDescent="0.35">
      <c r="A438" s="97" t="s">
        <v>75</v>
      </c>
      <c r="B438" s="98" t="str">
        <f>IF(Other_Population="","",IF(Effective_Other_TripleTest_Freq="Annuel",L396,IF(Effective_Other_TripleTest_Freq="semestriel",L411,IF(Effective_Other_TripleTest_Freq="trimestriel",L432,""))))</f>
        <v/>
      </c>
    </row>
    <row r="439" spans="1:13" x14ac:dyDescent="0.35">
      <c r="A439" s="97" t="s">
        <v>76</v>
      </c>
      <c r="B439" s="98" t="str">
        <f>IF(Other_Population="","",IF(Effective_Other_TripleTest_Freq="Annuel",L397,IF(Effective_Other_TripleTest_Freq="semestriel",L412,IF(Effective_Other_TripleTest_Freq="trimestriel",L433,""))))</f>
        <v/>
      </c>
    </row>
    <row r="440" spans="1:13" x14ac:dyDescent="0.35">
      <c r="A440" s="97" t="s">
        <v>77</v>
      </c>
      <c r="B440" s="98" t="str">
        <f>IFERROR(B437+B438+B439,"")</f>
        <v/>
      </c>
    </row>
    <row r="441" spans="1:13" ht="15" thickBot="1" x14ac:dyDescent="0.4"/>
    <row r="442" spans="1:13" ht="16.5" thickBot="1" x14ac:dyDescent="0.45">
      <c r="A442" s="374" t="s">
        <v>576</v>
      </c>
      <c r="B442" s="375"/>
      <c r="C442" s="375"/>
      <c r="D442" s="375"/>
      <c r="E442" s="375"/>
      <c r="F442" s="375"/>
      <c r="G442" s="375"/>
      <c r="H442" s="375"/>
      <c r="I442" s="375"/>
      <c r="J442" s="375"/>
      <c r="K442" s="375"/>
      <c r="L442" s="375"/>
      <c r="M442" s="376"/>
    </row>
    <row r="443" spans="1:13" x14ac:dyDescent="0.35">
      <c r="A443" s="97"/>
      <c r="B443" s="98"/>
    </row>
    <row r="444" spans="1:13" x14ac:dyDescent="0.35">
      <c r="A444" s="163" t="s">
        <v>536</v>
      </c>
    </row>
    <row r="445" spans="1:13" ht="58" x14ac:dyDescent="0.35">
      <c r="A445" s="58" t="s">
        <v>537</v>
      </c>
      <c r="B445" s="58" t="s">
        <v>538</v>
      </c>
      <c r="C445" s="57" t="s">
        <v>577</v>
      </c>
      <c r="D445" s="57" t="s">
        <v>555</v>
      </c>
      <c r="E445" s="57" t="s">
        <v>556</v>
      </c>
      <c r="F445" s="57" t="s">
        <v>578</v>
      </c>
      <c r="G445" s="57" t="s">
        <v>558</v>
      </c>
      <c r="H445" s="57" t="s">
        <v>543</v>
      </c>
      <c r="I445" s="57" t="s">
        <v>544</v>
      </c>
      <c r="J445" s="57" t="s">
        <v>546</v>
      </c>
      <c r="K445" s="57" t="s">
        <v>547</v>
      </c>
      <c r="L445" s="57" t="s">
        <v>548</v>
      </c>
    </row>
    <row r="446" spans="1:13" x14ac:dyDescent="0.35">
      <c r="A446" s="93" t="str">
        <f>IF(HBV_Other_Population="","",IF(Effective_Other_TDF_Freq="Annuel","Année 1",""))</f>
        <v/>
      </c>
      <c r="B446" s="94" t="str">
        <f>IF(Other_Population="","",IF(Effective_Other_BPG_Freq="Annuel",1,""))</f>
        <v/>
      </c>
      <c r="C446" s="14" t="str">
        <f>IF(Other_Population="","",IF(Effective_Other_BPG_Freq="Annuel",Calc_BPG!C28*4,""))</f>
        <v/>
      </c>
      <c r="D446" s="14" t="str">
        <f>IF(Other_Population="","",IF(Effective_Other_BPG_Freq="Annuel",Calc_BPG!D28*4,""))</f>
        <v/>
      </c>
      <c r="E446" s="93" t="str">
        <f>IF(Other_Population="","",IF(Effective_Other_BPG_Freq="Annuel",Other_Y1_Treatment_Target,""))</f>
        <v/>
      </c>
      <c r="F446" s="14" t="str">
        <f>IF(Other_Population="","",IF(Effective_Other_BPG_Freq="Annuel",Calc_BPG!F28+Calc_BPG!F29+Calc_BPG!F30+Calc_BPG!F31,""))</f>
        <v/>
      </c>
      <c r="G446" s="14" t="str">
        <f>IF(Other_Population="","",IF(Effective_Other_BPG_Freq="Annuel",Calc_BPG!G28+Calc_BPG!G29+Calc_BPG!G30+Calc_BPG!G31,""))</f>
        <v/>
      </c>
      <c r="H446" s="14" t="str">
        <f>IF(Other_Population="","",IF(Effective_Other_BPG_Freq="Annuel",Calc_BPG!H41,""))</f>
        <v/>
      </c>
      <c r="I446" s="14" t="str">
        <f>IF(Other_Population="","",IF(Effective_Other_BPG_Freq="Annuel",Calc_BPG!I41,""))</f>
        <v/>
      </c>
      <c r="J446" s="14" t="str">
        <f>IF(Other_Population="","",IF(Effective_Other_BPG_Freq="Annuel",Calc_BPG!J41,""))</f>
        <v/>
      </c>
      <c r="K446" s="93" t="str">
        <f>IF(Other_Population="","",IF(Effective_Other_BPG_Freq="Annuel",BPG_PackSize,""))</f>
        <v/>
      </c>
      <c r="L446" s="93" t="str">
        <f>IF(Other_Population="","",IF(Effective_Other_BPG_Freq="Annuel",IF(BPG_PackSize="","Enter pack size",CEILING(Calc_BPG!J41/BPG_PackSize,1)),""))</f>
        <v/>
      </c>
    </row>
    <row r="447" spans="1:13" x14ac:dyDescent="0.35">
      <c r="A447" s="93" t="str">
        <f>IF(Other_Population="","",IF(Effective_Other_BPG_Freq="Annuel","Année 2",""))</f>
        <v/>
      </c>
      <c r="B447" s="94" t="str">
        <f>IF(Other_Population="","",IF(Effective_Other_BPG_Freq="Annuel",2,""))</f>
        <v/>
      </c>
      <c r="C447" s="14" t="str">
        <f>IF(Other_Population="","",IF(Effective_Other_BPG_Freq="Annuel",Calc_BPG!C32*4,""))</f>
        <v/>
      </c>
      <c r="D447" s="14" t="str">
        <f>IF(Other_Population="","",IF(Effective_Other_BPG_Freq="Annuel",Calc_BPG!D32*4,""))</f>
        <v/>
      </c>
      <c r="E447" s="93" t="str">
        <f>IF(Other_Population="","",IF(Effective_Other_BPG_Freq="Annuel",Other_Y2_Treatment_Target,""))</f>
        <v/>
      </c>
      <c r="F447" s="14" t="str">
        <f>IF(Other_Population="","",IF(Effective_Other_BPG_Freq="Annuel",Calc_BPG!F32+Calc_BPG!F33+Calc_BPG!F34+Calc_BPG!F35,""))</f>
        <v/>
      </c>
      <c r="G447" s="14" t="str">
        <f>IF(Other_Population="","",IF(Effective_Other_BPG_Freq="Annuel",Calc_BPG!G32+Calc_BPG!G33+Calc_BPG!G34+Calc_BPG!G35,""))</f>
        <v/>
      </c>
      <c r="H447" s="14" t="str">
        <f>IF(Other_Population="","",IF(Effective_Other_BPG_Freq="Annuel",Calc_BPG!H42,""))</f>
        <v/>
      </c>
      <c r="I447" s="14" t="str">
        <f>IF(Other_Population="","",IF(Effective_Other_BPG_Freq="Annuel",Calc_BPG!I42,""))</f>
        <v/>
      </c>
      <c r="J447" s="14" t="str">
        <f>IF(Other_Population="","",IF(Effective_Other_BPG_Freq="Annuel",Calc_BPG!J42,""))</f>
        <v/>
      </c>
      <c r="K447" s="93" t="str">
        <f>IF(Other_Population="","",IF(Effective_Other_BPG_Freq="Annuel",BPG_PackSize,""))</f>
        <v/>
      </c>
      <c r="L447" s="93" t="str">
        <f>IF(Other_Population="","",IF(Effective_Other_BPG_Freq="Annuel",IF(BPG_PackSize="","Enter pack size",CEILING(Calc_BPG!J42/BPG_PackSize,1)),""))</f>
        <v/>
      </c>
    </row>
    <row r="448" spans="1:13" x14ac:dyDescent="0.35">
      <c r="A448" s="93" t="str">
        <f>IF(Other_Population="","",IF(Effective_Other_BPG_Freq="Annuel","Année 3",""))</f>
        <v/>
      </c>
      <c r="B448" s="94" t="str">
        <f>IF(Other_Population="","",IF(Effective_Other_BPG_Freq="Annuel",3,""))</f>
        <v/>
      </c>
      <c r="C448" s="14" t="str">
        <f>IF(Other_Population="","",IF(Effective_Other_BPG_Freq="Annuel",Calc_BPG!C36*4,""))</f>
        <v/>
      </c>
      <c r="D448" s="14" t="str">
        <f>IF(Other_Population="","",IF(Effective_Other_BPG_Freq="Annuel",Calc_BPG!D36*4,""))</f>
        <v/>
      </c>
      <c r="E448" s="93" t="str">
        <f>IF(Other_Population="","",IF(Effective_Other_BPG_Freq="Annuel",Other_Y3_Treatment_Target,""))</f>
        <v/>
      </c>
      <c r="F448" s="14" t="str">
        <f>IF(Other_Population="","",IF(Effective_Other_BPG_Freq="Annuel",Calc_BPG!F36+Calc_BPG!F37+Calc_BPG!F38+Calc_BPG!F39,""))</f>
        <v/>
      </c>
      <c r="G448" s="14" t="str">
        <f>IF(Other_Population="","",IF(Effective_Other_BPG_Freq="Annuel",Calc_BPG!G36+Calc_BPG!G37+Calc_BPG!G38+Calc_BPG!G39,""))</f>
        <v/>
      </c>
      <c r="H448" s="14" t="str">
        <f>IF(Other_Population="","",IF(Effective_Other_BPG_Freq="Annuel",Calc_BPG!H43,""))</f>
        <v/>
      </c>
      <c r="I448" s="14" t="str">
        <f>IF(Other_Population="","",IF(Effective_Other_BPG_Freq="Annuel",Calc_BPG!I43,""))</f>
        <v/>
      </c>
      <c r="J448" s="14" t="str">
        <f>IF(Other_Population="","",IF(Effective_Other_BPG_Freq="Annuel",Calc_BPG!J43,""))</f>
        <v/>
      </c>
      <c r="K448" s="93" t="str">
        <f>IF(Other_Population="","",IF(Effective_Other_BPG_Freq="Annuel",BPG_PackSize,""))</f>
        <v/>
      </c>
      <c r="L448" s="93" t="str">
        <f>IF(Other_Population="","",IF(Effective_Other_BPG_Freq="Annuel",IF(BPG_PackSize="","Enter pack size",CEILING(Calc_BPG!J43/BPG_PackSize,1)),""))</f>
        <v/>
      </c>
    </row>
    <row r="449" spans="1:12" x14ac:dyDescent="0.35">
      <c r="A449" s="97"/>
      <c r="B449" s="98"/>
    </row>
    <row r="450" spans="1:12" s="96" customFormat="1" ht="16" x14ac:dyDescent="0.4">
      <c r="A450" s="86" t="str">
        <f>IF(Other_Population="","",IF(Effective_Other_BPG_Freq="Annuel","TOTAL SUR 3 ANS",""))</f>
        <v/>
      </c>
      <c r="B450" s="91"/>
      <c r="C450" s="91"/>
      <c r="D450" s="91"/>
      <c r="E450" s="91"/>
      <c r="F450" s="91"/>
      <c r="G450" s="91"/>
      <c r="H450" s="91"/>
      <c r="I450" s="91"/>
      <c r="J450" s="87" t="str">
        <f>IF(Other_Population="","",IF(Effective_Other_BPG_Freq="Annuel",Calc_BPG!J45,""))</f>
        <v/>
      </c>
      <c r="K450" s="91"/>
      <c r="L450" s="87" t="str">
        <f>IF(Other_Population="","",IF(Effective_Other_BPG_Freq="Annuel",SUM(L446:L448),""))</f>
        <v/>
      </c>
    </row>
    <row r="451" spans="1:12" x14ac:dyDescent="0.35">
      <c r="A451" s="97"/>
      <c r="B451" s="98"/>
    </row>
    <row r="452" spans="1:12" ht="16" x14ac:dyDescent="0.4">
      <c r="A452" s="163" t="s">
        <v>549</v>
      </c>
      <c r="B452" s="92"/>
      <c r="C452" s="92"/>
      <c r="D452" s="92"/>
      <c r="E452" s="92"/>
      <c r="F452" s="92"/>
      <c r="G452" s="92"/>
      <c r="H452" s="92"/>
      <c r="I452" s="92"/>
      <c r="J452" s="80"/>
      <c r="K452" s="92"/>
      <c r="L452" s="80"/>
    </row>
    <row r="453" spans="1:12" ht="58" x14ac:dyDescent="0.35">
      <c r="A453" s="58" t="s">
        <v>537</v>
      </c>
      <c r="B453" s="58" t="s">
        <v>538</v>
      </c>
      <c r="C453" s="57" t="s">
        <v>577</v>
      </c>
      <c r="D453" s="57" t="s">
        <v>555</v>
      </c>
      <c r="E453" s="57" t="s">
        <v>556</v>
      </c>
      <c r="F453" s="57" t="s">
        <v>578</v>
      </c>
      <c r="G453" s="57" t="s">
        <v>558</v>
      </c>
      <c r="H453" s="57" t="s">
        <v>543</v>
      </c>
      <c r="I453" s="57" t="s">
        <v>544</v>
      </c>
      <c r="J453" s="57" t="s">
        <v>546</v>
      </c>
      <c r="K453" s="57" t="s">
        <v>547</v>
      </c>
      <c r="L453" s="57" t="s">
        <v>548</v>
      </c>
    </row>
    <row r="454" spans="1:12" x14ac:dyDescent="0.35">
      <c r="A454" s="93" t="str">
        <f>IF(Other_Population="","",IF(Effective_Other_BPG_Freq="semestriel","S1",""))</f>
        <v/>
      </c>
      <c r="B454" s="13" t="str">
        <f>IF(Other_Population="","",IF(Effective_Other_BPG_Freq="semestriel",1,""))</f>
        <v/>
      </c>
      <c r="C454" s="14" t="str">
        <f>IF(Other_Population="","",IF(Effective_Other_BPG_Freq="semestriel",Calc_BPG!C28+Calc_BPG!C29,""))</f>
        <v/>
      </c>
      <c r="D454" s="14" t="str">
        <f>IF(Other_Population="","",IF(Effective_Other_BPG_Freq="semestriel",Calc_BPG!D28+Calc_BPG!D29,""))</f>
        <v/>
      </c>
      <c r="E454" s="93" t="str">
        <f>IF(Other_Population="","",IF(Effective_Other_BPG_Freq="semestriel",Other_Y1_Treatment_Target,""))</f>
        <v/>
      </c>
      <c r="F454" s="14" t="str">
        <f>IF(Other_Population="","",IF(Effective_Other_BPG_Freq="semestriel",Calc_BPG!F28+Calc_BPG!F29,""))</f>
        <v/>
      </c>
      <c r="G454" s="14" t="str">
        <f>IF(Other_Population="","",IF(Effective_Other_BPG_Freq="semestriel",Calc_BPG!G28+Calc_BPG!G29,""))</f>
        <v/>
      </c>
      <c r="H454" s="14" t="str">
        <f>IF(Other_Population="","",IF(Effective_Other_BPG_Freq="semestriel",Calc_BPG!S28+Calc_BPG!S29,""))</f>
        <v/>
      </c>
      <c r="I454" s="14" t="str">
        <f>IF(Other_Population="","",IF(Effective_Other_BPG_Freq="semestriel",Calc_BPG!I28+Calc_BPG!I29,""))</f>
        <v/>
      </c>
      <c r="J454" s="14" t="str">
        <f>IF(Other_Population="","",IF(Effective_Other_BPG_Freq="semestriel",Calc_BPG!J28+Calc_BPG!J29,""))</f>
        <v/>
      </c>
      <c r="K454" s="13" t="str">
        <f t="shared" ref="K454:K459" si="30">IF(Other_Population="","",IF(Effective_Other_BPG_Freq="semestriel",BPG_PackSize,""))</f>
        <v/>
      </c>
      <c r="L454" s="93" t="str">
        <f>IF(Other_Population="","",IF(Effective_Other_BPG_Freq="semestriel",IF(BPG_PackSize="","Enter pack size",CEILING((Calc_BPG!J28+Calc_BPG!J29)/BPG_PackSize,1)),""))</f>
        <v/>
      </c>
    </row>
    <row r="455" spans="1:12" x14ac:dyDescent="0.35">
      <c r="A455" s="93" t="str">
        <f>IF(Other_Population="","",IF(Effective_Other_BPG_Freq="semestriel","S2",""))</f>
        <v/>
      </c>
      <c r="B455" s="13" t="str">
        <f>IF(Other_Population="","",IF(Effective_Other_BPG_Freq="semestriel",1,""))</f>
        <v/>
      </c>
      <c r="C455" s="14" t="str">
        <f>IF(Other_Population="","",IF(Effective_Other_BPG_Freq="semestriel",Calc_BPG!C30+Calc_BPG!C31,""))</f>
        <v/>
      </c>
      <c r="D455" s="14" t="str">
        <f>IF(Other_Population="","",IF(Effective_Other_BPG_Freq="semestriel",Calc_BPG!D30+Calc_BPG!D31,""))</f>
        <v/>
      </c>
      <c r="E455" s="93" t="str">
        <f>IF(Other_Population="","",IF(Effective_Other_BPG_Freq="semestriel",Other_Y1_Treatment_Target,""))</f>
        <v/>
      </c>
      <c r="F455" s="14" t="str">
        <f>IF(Other_Population="","",IF(Effective_Other_BPG_Freq="semestriel",Calc_BPG!F30+Calc_BPG!F31,""))</f>
        <v/>
      </c>
      <c r="G455" s="14" t="str">
        <f>IF(Other_Population="","",IF(Effective_Other_BPG_Freq="semestriel",Calc_BPG!G30+Calc_BPG!G31,""))</f>
        <v/>
      </c>
      <c r="H455" s="14" t="str">
        <f>IF(Other_Population="","",IF(Effective_Other_BPG_Freq="semestriel",Calc_BPG!H30+Calc_BPG!H31,""))</f>
        <v/>
      </c>
      <c r="I455" s="14" t="str">
        <f>IF(Other_Population="","",IF(Effective_Other_BPG_Freq="semestriel",Calc_BPG!I30+Calc_BPG!I31,""))</f>
        <v/>
      </c>
      <c r="J455" s="14" t="str">
        <f>IF(Other_Population="","",IF(Effective_Other_BPG_Freq="semestriel",Calc_BPG!J30+Calc_BPG!J31,""))</f>
        <v/>
      </c>
      <c r="K455" s="13" t="str">
        <f t="shared" si="30"/>
        <v/>
      </c>
      <c r="L455" s="93" t="str">
        <f>IF(Other_Population="","",IF(Effective_Other_BPG_Freq="semestriel",IF(BPG_PackSize="","Enter pack size",CEILING((Calc_BPG!J30+Calc_BPG!J31)/BPG_PackSize,1)),""))</f>
        <v/>
      </c>
    </row>
    <row r="456" spans="1:12" x14ac:dyDescent="0.35">
      <c r="A456" s="93" t="str">
        <f>IF(Other_Population="","",IF(Effective_Other_BPG_Freq="semestriel","S1",""))</f>
        <v/>
      </c>
      <c r="B456" s="13" t="str">
        <f>IF(Other_Population="","",IF(Effective_Other_BPG_Freq="semestriel",2,""))</f>
        <v/>
      </c>
      <c r="C456" s="14" t="str">
        <f>IF(Other_Population="","",IF(Effective_Other_BPG_Freq="semestriel",Calc_BPG!C32+Calc_BPG!C33,""))</f>
        <v/>
      </c>
      <c r="D456" s="14" t="str">
        <f>IF(Other_Population="","",IF(Effective_Other_BPG_Freq="semestriel",Calc_BPG!D32+Calc_BPG!D33,""))</f>
        <v/>
      </c>
      <c r="E456" s="93" t="str">
        <f>IF(Other_Population="","",IF(Effective_Other_BPG_Freq="semestriel",Other_Y2_Treatment_Target,""))</f>
        <v/>
      </c>
      <c r="F456" s="14" t="str">
        <f>IF(Other_Population="","",IF(Effective_Other_BPG_Freq="semestriel",Calc_BPG!F32+Calc_BPG!F33,""))</f>
        <v/>
      </c>
      <c r="G456" s="14" t="str">
        <f>IF(Other_Population="","",IF(Effective_Other_BPG_Freq="semestriel",Calc_BPG!G32+Calc_BPG!G33,""))</f>
        <v/>
      </c>
      <c r="H456" s="14" t="str">
        <f>IF(Other_Population="","",IF(Effective_Other_BPG_Freq="semestriel",Calc_BPG!H32+Calc_BPG!H33,""))</f>
        <v/>
      </c>
      <c r="I456" s="14" t="str">
        <f>IF(Other_Population="","",IF(Effective_Other_BPG_Freq="semestriel",Calc_BPG!I32+Calc_BPG!I33,""))</f>
        <v/>
      </c>
      <c r="J456" s="14" t="str">
        <f>IF(Other_Population="","",IF(Effective_Other_BPG_Freq="semestriel",Calc_BPG!J32+Calc_BPG!J33,""))</f>
        <v/>
      </c>
      <c r="K456" s="13" t="str">
        <f t="shared" si="30"/>
        <v/>
      </c>
      <c r="L456" s="93" t="str">
        <f>IF(Other_Population="","",IF(Effective_Other_BPG_Freq="semestriel",IF(BPG_PackSize="","Enter pack size",CEILING((Calc_BPG!J32+Calc_BPG!J33)/BPG_PackSize,1)),""))</f>
        <v/>
      </c>
    </row>
    <row r="457" spans="1:12" x14ac:dyDescent="0.35">
      <c r="A457" s="93" t="str">
        <f>IF(Other_Population="","",IF(Effective_Other_BPG_Freq="semestriel","S2",""))</f>
        <v/>
      </c>
      <c r="B457" s="13" t="str">
        <f>IF(Other_Population="","",IF(Effective_Other_BPG_Freq="semestriel",2,""))</f>
        <v/>
      </c>
      <c r="C457" s="14" t="str">
        <f>IF(Other_Population="","",IF(Effective_Other_BPG_Freq="semestriel",Calc_BPG!C34+Calc_BPG!C35,""))</f>
        <v/>
      </c>
      <c r="D457" s="14" t="str">
        <f>IF(Other_Population="","",IF(Effective_Other_BPG_Freq="semestriel",Calc_BPG!D34+Calc_BPG!D35,""))</f>
        <v/>
      </c>
      <c r="E457" s="93" t="str">
        <f>IF(Other_Population="","",IF(Effective_Other_BPG_Freq="semestriel",Other_Y2_Treatment_Target,""))</f>
        <v/>
      </c>
      <c r="F457" s="14" t="str">
        <f>IF(Other_Population="","",IF(Effective_Other_BPG_Freq="semestriel",Calc_BPG!F34+Calc_BPG!F35,""))</f>
        <v/>
      </c>
      <c r="G457" s="14" t="str">
        <f>IF(Other_Population="","",IF(Effective_Other_BPG_Freq="semestriel",Calc_BPG!G34+Calc_BPG!G35,""))</f>
        <v/>
      </c>
      <c r="H457" s="14" t="str">
        <f>IF(Other_Population="","",IF(Effective_Other_BPG_Freq="semestriel",Calc_BPG!H34+Calc_BPG!H35,""))</f>
        <v/>
      </c>
      <c r="I457" s="14" t="str">
        <f>IF(Other_Population="","",IF(Effective_Other_BPG_Freq="semestriel",Calc_BPG!I34+Calc_BPG!I35,""))</f>
        <v/>
      </c>
      <c r="J457" s="14" t="str">
        <f>IF(Other_Population="","",IF(Effective_Other_BPG_Freq="semestriel",Calc_BPG!J34+Calc_BPG!J35,""))</f>
        <v/>
      </c>
      <c r="K457" s="13" t="str">
        <f t="shared" si="30"/>
        <v/>
      </c>
      <c r="L457" s="93" t="str">
        <f>IF(Other_Population="","",IF(Effective_Other_BPG_Freq="semestriel",IF(BPG_PackSize="","Enter pack size",CEILING((Calc_BPG!J34+Calc_BPG!J35)/BPG_PackSize,1)),""))</f>
        <v/>
      </c>
    </row>
    <row r="458" spans="1:12" x14ac:dyDescent="0.35">
      <c r="A458" s="93" t="str">
        <f>IF(Other_Population="","",IF(Effective_Other_BPG_Freq="semestriel","S1",""))</f>
        <v/>
      </c>
      <c r="B458" s="13" t="str">
        <f>IF(Other_Population="","",IF(Effective_Other_BPG_Freq="semestriel",3,""))</f>
        <v/>
      </c>
      <c r="C458" s="14" t="str">
        <f>IF(Other_Population="","",IF(Effective_Other_BPG_Freq="semestriel",Calc_BPG!C36+Calc_BPG!C37,""))</f>
        <v/>
      </c>
      <c r="D458" s="14" t="str">
        <f>IF(Other_Population="","",IF(Effective_Other_BPG_Freq="semestriel",Calc_BPG!D36+Calc_BPG!D37,""))</f>
        <v/>
      </c>
      <c r="E458" s="93" t="str">
        <f>IF(Other_Population="","",IF(Effective_Other_BPG_Freq="semestriel",Other_Y3_Treatment_Target,""))</f>
        <v/>
      </c>
      <c r="F458" s="14" t="str">
        <f>IF(Other_Population="","",IF(Effective_Other_BPG_Freq="semestriel",Calc_BPG!F36+Calc_BPG!F37,""))</f>
        <v/>
      </c>
      <c r="G458" s="14" t="str">
        <f>IF(Other_Population="","",IF(Effective_Other_BPG_Freq="semestriel",Calc_BPG!G36+Calc_BPG!G37,""))</f>
        <v/>
      </c>
      <c r="H458" s="14" t="str">
        <f>IF(Other_Population="","",IF(Effective_Other_BPG_Freq="semestriel",Calc_BPG!H36+Calc_BPG!H37,""))</f>
        <v/>
      </c>
      <c r="I458" s="14" t="str">
        <f>IF(Other_Population="","",IF(Effective_Other_BPG_Freq="semestriel",Calc_BPG!I36+Calc_BPG!I37,""))</f>
        <v/>
      </c>
      <c r="J458" s="14" t="str">
        <f>IF(Other_Population="","",IF(Effective_Other_BPG_Freq="semestriel",Calc_BPG!J36+Calc_BPG!J37,""))</f>
        <v/>
      </c>
      <c r="K458" s="13" t="str">
        <f t="shared" si="30"/>
        <v/>
      </c>
      <c r="L458" s="93" t="str">
        <f>IF(Other_Population="","",IF(Effective_Other_BPG_Freq="semestriel",IF(BPG_PackSize="","Enter pack size",CEILING((Calc_BPG!J36+Calc_BPG!J37)/BPG_PackSize,1)),""))</f>
        <v/>
      </c>
    </row>
    <row r="459" spans="1:12" x14ac:dyDescent="0.35">
      <c r="A459" s="93" t="str">
        <f>IF(Other_Population="","",IF(Effective_Other_BPG_Freq="semestriel","S2",""))</f>
        <v/>
      </c>
      <c r="B459" s="13" t="str">
        <f>IF(Other_Population="","",IF(Effective_Other_BPG_Freq="semestriel",3,""))</f>
        <v/>
      </c>
      <c r="C459" s="14" t="str">
        <f>IF(Other_Population="","",IF(Effective_Other_BPG_Freq="semestriel",Calc_BPG!C38+Calc_BPG!C39,""))</f>
        <v/>
      </c>
      <c r="D459" s="14" t="str">
        <f>IF(Other_Population="","",IF(Effective_Other_BPG_Freq="semestriel",Calc_BPG!D38+Calc_BPG!D39,""))</f>
        <v/>
      </c>
      <c r="E459" s="93" t="str">
        <f>IF(Other_Population="","",IF(Effective_Other_BPG_Freq="semestriel",Other_Y3_Treatment_Target,""))</f>
        <v/>
      </c>
      <c r="F459" s="14" t="str">
        <f>IF(Other_Population="","",IF(Effective_Other_BPG_Freq="semestriel",Calc_BPG!F38+Calc_BPG!F39,""))</f>
        <v/>
      </c>
      <c r="G459" s="14" t="str">
        <f>IF(Other_Population="","",IF(Effective_Other_BPG_Freq="semestriel",Calc_BPG!G38+Calc_BPG!G39,""))</f>
        <v/>
      </c>
      <c r="H459" s="14" t="str">
        <f>IF(Other_Population="","",IF(Effective_Other_BPG_Freq="semestriel",Calc_BPG!H38+Calc_BPG!H39,""))</f>
        <v/>
      </c>
      <c r="I459" s="14" t="str">
        <f>IF(Other_Population="","",IF(Effective_Other_BPG_Freq="semestriel",Calc_BPG!I38+Calc_BPG!I39,""))</f>
        <v/>
      </c>
      <c r="J459" s="14" t="str">
        <f>IF(Other_Population="","",IF(Effective_Other_BPG_Freq="semestriel",Calc_BPG!J38+Calc_BPG!J39,""))</f>
        <v/>
      </c>
      <c r="K459" s="13" t="str">
        <f t="shared" si="30"/>
        <v/>
      </c>
      <c r="L459" s="93" t="str">
        <f>IF(Other_Population="","",IF(Effective_Other_BPG_Freq="semestriel",IF(BPG_PackSize="","Enter pack size",CEILING((Calc_BPG!J38+Calc_BPG!J39)/BPG_PackSize,1)),""))</f>
        <v/>
      </c>
    </row>
    <row r="460" spans="1:12" x14ac:dyDescent="0.35">
      <c r="A460" s="97"/>
      <c r="B460" s="98"/>
    </row>
    <row r="461" spans="1:12" x14ac:dyDescent="0.35">
      <c r="A461" s="24" t="str">
        <f>IF(Other_Population="","",IF(Effective_Other_BPG_Freq="semestriel","Total Année 1",""))</f>
        <v/>
      </c>
      <c r="B461" s="105"/>
      <c r="C461" s="105"/>
      <c r="D461" s="105"/>
      <c r="E461" s="105"/>
      <c r="F461" s="106"/>
      <c r="G461" s="106"/>
      <c r="H461" s="107"/>
      <c r="I461" s="107"/>
      <c r="J461" s="107" t="str">
        <f>IF(Other_Population="","",IF(Effective_Other_BPG_Freq="semestriel",J454+J455,""))</f>
        <v/>
      </c>
      <c r="K461" s="107"/>
      <c r="L461" s="107" t="str">
        <f>IF(Other_Population="","",IF(Effective_Other_BPG_Freq="semestriel",L454+L455,""))</f>
        <v/>
      </c>
    </row>
    <row r="462" spans="1:12" x14ac:dyDescent="0.35">
      <c r="A462" s="24" t="str">
        <f>IF(Other_Population="","",IF(Effective_Other_BPG_Freq="semestriel","Total Année 2",""))</f>
        <v/>
      </c>
      <c r="B462" s="105"/>
      <c r="C462" s="105"/>
      <c r="D462" s="105"/>
      <c r="E462" s="105"/>
      <c r="F462" s="106"/>
      <c r="G462" s="106"/>
      <c r="H462" s="107"/>
      <c r="I462" s="107"/>
      <c r="J462" s="107" t="str">
        <f>IF(Other_Population="","",IF(Effective_Other_BPG_Freq="semestriel",J457+J456,""))</f>
        <v/>
      </c>
      <c r="K462" s="107"/>
      <c r="L462" s="107" t="str">
        <f>IF(Other_Population="","",IF(Effective_Other_BPG_Freq="semestriel",L456+L457,""))</f>
        <v/>
      </c>
    </row>
    <row r="463" spans="1:12" x14ac:dyDescent="0.35">
      <c r="A463" s="24" t="str">
        <f>IF(Other_Population="","",IF(Effective_Other_BPG_Freq="semestriel","Total Année 3",""))</f>
        <v/>
      </c>
      <c r="B463" s="105"/>
      <c r="C463" s="105"/>
      <c r="D463" s="105"/>
      <c r="E463" s="105"/>
      <c r="F463" s="106"/>
      <c r="G463" s="106"/>
      <c r="H463" s="107"/>
      <c r="I463" s="107"/>
      <c r="J463" s="107" t="str">
        <f>IF(Other_Population="","",IF(Effective_Other_BPG_Freq="semestriel",J458+J459,""))</f>
        <v/>
      </c>
      <c r="K463" s="107"/>
      <c r="L463" s="107" t="str">
        <f>IF(Other_Population="","",IF(Effective_Other_BPG_Freq="semestriel",L458+L459,""))</f>
        <v/>
      </c>
    </row>
    <row r="464" spans="1:12" x14ac:dyDescent="0.35">
      <c r="A464" s="9"/>
      <c r="B464" s="9"/>
      <c r="C464" s="9"/>
      <c r="D464" s="9"/>
      <c r="E464" s="9"/>
      <c r="F464" s="9"/>
      <c r="G464" s="9"/>
      <c r="H464" s="9"/>
      <c r="I464" s="9"/>
      <c r="J464" s="95"/>
      <c r="K464" s="9"/>
      <c r="L464" s="95"/>
    </row>
    <row r="465" spans="1:12" s="96" customFormat="1" ht="16" x14ac:dyDescent="0.4">
      <c r="A465" s="86" t="str">
        <f>IF(Other_Population="","",IF(Effective_Other_BPG_Freq="semestriel","TOTAL SUR 3 ANS",""))</f>
        <v/>
      </c>
      <c r="B465" s="91"/>
      <c r="C465" s="91"/>
      <c r="D465" s="91"/>
      <c r="E465" s="91"/>
      <c r="F465" s="91"/>
      <c r="G465" s="91"/>
      <c r="H465" s="91"/>
      <c r="I465" s="91"/>
      <c r="J465" s="87" t="str">
        <f>IF(Other_Population="","",IF(Effective_Other_BPG_Freq="semestriel",Calc_BPG!J45,""))</f>
        <v/>
      </c>
      <c r="K465" s="91"/>
      <c r="L465" s="87" t="str">
        <f>IF(Other_Population="","",IF(Effective_Other_BPG_Freq="semestriel",SUM(L461:L463),""))</f>
        <v/>
      </c>
    </row>
    <row r="466" spans="1:12" x14ac:dyDescent="0.35">
      <c r="A466" s="97"/>
      <c r="B466" s="98"/>
    </row>
    <row r="467" spans="1:12" x14ac:dyDescent="0.35">
      <c r="A467" s="163" t="s">
        <v>550</v>
      </c>
    </row>
    <row r="468" spans="1:12" ht="58" x14ac:dyDescent="0.35">
      <c r="A468" s="58" t="s">
        <v>537</v>
      </c>
      <c r="B468" s="58" t="s">
        <v>538</v>
      </c>
      <c r="C468" s="57" t="s">
        <v>577</v>
      </c>
      <c r="D468" s="57" t="s">
        <v>555</v>
      </c>
      <c r="E468" s="57" t="s">
        <v>556</v>
      </c>
      <c r="F468" s="57" t="s">
        <v>578</v>
      </c>
      <c r="G468" s="57" t="s">
        <v>558</v>
      </c>
      <c r="H468" s="57" t="s">
        <v>543</v>
      </c>
      <c r="I468" s="57" t="s">
        <v>544</v>
      </c>
      <c r="J468" s="57" t="s">
        <v>546</v>
      </c>
      <c r="K468" s="57" t="s">
        <v>547</v>
      </c>
      <c r="L468" s="57" t="s">
        <v>548</v>
      </c>
    </row>
    <row r="469" spans="1:12" x14ac:dyDescent="0.35">
      <c r="A469" s="93" t="str">
        <f>IF(Other_Population="","",IF(Effective_Other_BPG_Freq="trimestriel","T1",""))</f>
        <v/>
      </c>
      <c r="B469" s="94" t="str">
        <f>IF(Other_Population="","",IF(Effective_Other_BPG_Freq="trimestriel",1,""))</f>
        <v/>
      </c>
      <c r="C469" s="14" t="str">
        <f>IF(Other_Population="","",IF(Effective_Other_BPG_Freq="trimestriel",Calc_BPG!C28,""))</f>
        <v/>
      </c>
      <c r="D469" s="14" t="str">
        <f>IF(Other_Population="","",IF(Effective_Other_BPG_Freq="trimestriel",Calc_BPG!D28,""))</f>
        <v/>
      </c>
      <c r="E469" s="93" t="str">
        <f>IF(Other_Population="","",IF(Effective_Other_BPG_Freq="trimestriel",Other_Y1_Treatment_Target,""))</f>
        <v/>
      </c>
      <c r="F469" s="14" t="str">
        <f>IF(Other_Population="","",IF(Effective_Other_BPG_Freq="trimestriel",Calc_BPG!F28,""))</f>
        <v/>
      </c>
      <c r="G469" s="14" t="str">
        <f>IF(Other_Population="","",IF(Effective_Other_BPG_Freq="trimestriel",Calc_BPG!G28,""))</f>
        <v/>
      </c>
      <c r="H469" s="14" t="str">
        <f>IF(Other_Population="","",IF(Effective_Other_BPG_Freq="trimestriel",Calc_BPG!S28,""))</f>
        <v/>
      </c>
      <c r="I469" s="14" t="str">
        <f>IF(Other_Population="","",IF(Effective_Other_BPG_Freq="trimestriel",Calc_BPG!I28,""))</f>
        <v/>
      </c>
      <c r="J469" s="14" t="str">
        <f>IF(Other_Population="","",IF(Effective_Other_BPG_Freq="trimestriel",Calc_BPG!J28,""))</f>
        <v/>
      </c>
      <c r="K469" s="13" t="str">
        <f t="shared" ref="K469:K480" si="31">IF(Other_Population="","",IF(Effective_Other_BPG_Freq="trimestriel",BPG_PackSize,""))</f>
        <v/>
      </c>
      <c r="L469" s="93" t="str">
        <f>IF(Other_Population="","",IF(Effective_Other_BPG_Freq="trimestriel",IF(BPG_PackSize="","Enter pack size",CEILING(Calc_BPG!J28/BPG_PackSize,1)),""))</f>
        <v/>
      </c>
    </row>
    <row r="470" spans="1:12" x14ac:dyDescent="0.35">
      <c r="A470" s="93" t="str">
        <f>IF(Other_Population="","",IF(Effective_Other_BPG_Freq="trimestriel","T2",""))</f>
        <v/>
      </c>
      <c r="B470" s="94" t="str">
        <f>IF(Other_Population="","",IF(Effective_Other_BPG_Freq="trimestriel",1,""))</f>
        <v/>
      </c>
      <c r="C470" s="14" t="str">
        <f>IF(Other_Population="","",IF(Effective_Other_BPG_Freq="trimestriel",Calc_BPG!C29,""))</f>
        <v/>
      </c>
      <c r="D470" s="14" t="str">
        <f>IF(Other_Population="","",IF(Effective_Other_BPG_Freq="trimestriel",Calc_BPG!D29,""))</f>
        <v/>
      </c>
      <c r="E470" s="93" t="str">
        <f>IF(Other_Population="","",IF(Effective_Other_BPG_Freq="trimestriel",Other_Y1_Treatment_Target,""))</f>
        <v/>
      </c>
      <c r="F470" s="14" t="str">
        <f>IF(Other_Population="","",IF(Effective_Other_BPG_Freq="trimestriel",Calc_BPG!F29,""))</f>
        <v/>
      </c>
      <c r="G470" s="14" t="str">
        <f>IF(Other_Population="","",IF(Effective_Other_BPG_Freq="trimestriel",Calc_BPG!G29,""))</f>
        <v/>
      </c>
      <c r="H470" s="14" t="str">
        <f>IF(Other_Population="","",IF(Effective_Other_BPG_Freq="trimestriel",Calc_BPG!S29,""))</f>
        <v/>
      </c>
      <c r="I470" s="14" t="str">
        <f>IF(Other_Population="","",IF(Effective_Other_BPG_Freq="trimestriel",Calc_BPG!I29,""))</f>
        <v/>
      </c>
      <c r="J470" s="14" t="str">
        <f>IF(Other_Population="","",IF(Effective_Other_BPG_Freq="trimestriel",Calc_BPG!J29,""))</f>
        <v/>
      </c>
      <c r="K470" s="13" t="str">
        <f t="shared" si="31"/>
        <v/>
      </c>
      <c r="L470" s="93" t="str">
        <f>IF(Other_Population="","",IF(Effective_Other_BPG_Freq="trimestriel",IF(BPG_PackSize="","Enter pack size",CEILING(Calc_BPG!J29/BPG_PackSize,1)),""))</f>
        <v/>
      </c>
    </row>
    <row r="471" spans="1:12" x14ac:dyDescent="0.35">
      <c r="A471" s="93" t="str">
        <f>IF(Other_Population="","",IF(Effective_Other_BPG_Freq="trimestriel","T3",""))</f>
        <v/>
      </c>
      <c r="B471" s="94" t="str">
        <f>IF(Other_Population="","",IF(Effective_Other_BPG_Freq="trimestriel",1,""))</f>
        <v/>
      </c>
      <c r="C471" s="14" t="str">
        <f>IF(Other_Population="","",IF(Effective_Other_BPG_Freq="trimestriel",Calc_BPG!C30,""))</f>
        <v/>
      </c>
      <c r="D471" s="14" t="str">
        <f>IF(Other_Population="","",IF(Effective_Other_BPG_Freq="trimestriel",Calc_BPG!D30,""))</f>
        <v/>
      </c>
      <c r="E471" s="93" t="str">
        <f>IF(Other_Population="","",IF(Effective_Other_BPG_Freq="trimestriel",Other_Y1_Treatment_Target,""))</f>
        <v/>
      </c>
      <c r="F471" s="14" t="str">
        <f>IF(Other_Population="","",IF(Effective_Other_BPG_Freq="trimestriel",Calc_BPG!F30,""))</f>
        <v/>
      </c>
      <c r="G471" s="14" t="str">
        <f>IF(Other_Population="","",IF(Effective_Other_BPG_Freq="trimestriel",Calc_BPG!G30,""))</f>
        <v/>
      </c>
      <c r="H471" s="14" t="str">
        <f>IF(Other_Population="","",IF(Effective_Other_BPG_Freq="trimestriel",Calc_BPG!H30,""))</f>
        <v/>
      </c>
      <c r="I471" s="14" t="str">
        <f>IF(Other_Population="","",IF(Effective_Other_BPG_Freq="trimestriel",Calc_BPG!I30,""))</f>
        <v/>
      </c>
      <c r="J471" s="14" t="str">
        <f>IF(Other_Population="","",IF(Effective_Other_BPG_Freq="trimestriel",Calc_BPG!J30,""))</f>
        <v/>
      </c>
      <c r="K471" s="13" t="str">
        <f t="shared" si="31"/>
        <v/>
      </c>
      <c r="L471" s="93" t="str">
        <f>IF(Other_Population="","",IF(Effective_Other_BPG_Freq="trimestriel",IF(BPG_PackSize="","Enter pack size",CEILING(Calc_BPG!J30/BPG_PackSize,1)),""))</f>
        <v/>
      </c>
    </row>
    <row r="472" spans="1:12" x14ac:dyDescent="0.35">
      <c r="A472" s="93" t="str">
        <f>IF(Other_Population="","",IF(Effective_Other_BPG_Freq="trimestriel","T4",""))</f>
        <v/>
      </c>
      <c r="B472" s="94" t="str">
        <f>IF(Other_Population="","",IF(Effective_Other_BPG_Freq="trimestriel",1,""))</f>
        <v/>
      </c>
      <c r="C472" s="14" t="str">
        <f>IF(Other_Population="","",IF(Effective_Other_BPG_Freq="trimestriel",Calc_BPG!C31,""))</f>
        <v/>
      </c>
      <c r="D472" s="14" t="str">
        <f>IF(Other_Population="","",IF(Effective_Other_BPG_Freq="trimestriel",Calc_BPG!D31,""))</f>
        <v/>
      </c>
      <c r="E472" s="93" t="str">
        <f>IF(Other_Population="","",IF(Effective_Other_BPG_Freq="trimestriel",Other_Y1_Treatment_Target,""))</f>
        <v/>
      </c>
      <c r="F472" s="14" t="str">
        <f>IF(Other_Population="","",IF(Effective_Other_BPG_Freq="trimestriel",Calc_BPG!F31,""))</f>
        <v/>
      </c>
      <c r="G472" s="14" t="str">
        <f>IF(Other_Population="","",IF(Effective_Other_BPG_Freq="trimestriel",Calc_BPG!G31,""))</f>
        <v/>
      </c>
      <c r="H472" s="14" t="str">
        <f>IF(Other_Population="","",IF(Effective_Other_BPG_Freq="trimestriel",Calc_BPG!H31,""))</f>
        <v/>
      </c>
      <c r="I472" s="14" t="str">
        <f>IF(Other_Population="","",IF(Effective_Other_BPG_Freq="trimestriel",Calc_BPG!I31,""))</f>
        <v/>
      </c>
      <c r="J472" s="14" t="str">
        <f>IF(Other_Population="","",IF(Effective_Other_BPG_Freq="trimestriel",Calc_BPG!J31,""))</f>
        <v/>
      </c>
      <c r="K472" s="13" t="str">
        <f t="shared" si="31"/>
        <v/>
      </c>
      <c r="L472" s="93" t="str">
        <f>IF(Other_Population="","",IF(Effective_Other_BPG_Freq="trimestriel",IF(BPG_PackSize="","Enter pack size",CEILING(Calc_BPG!J31/BPG_PackSize,1)),""))</f>
        <v/>
      </c>
    </row>
    <row r="473" spans="1:12" x14ac:dyDescent="0.35">
      <c r="A473" s="93" t="str">
        <f>IF(Other_Population="","",IF(Effective_Other_BPG_Freq="trimestriel","T1",""))</f>
        <v/>
      </c>
      <c r="B473" s="94" t="str">
        <f>IF(Other_Population="","",IF(Effective_Other_BPG_Freq="trimestriel",2,""))</f>
        <v/>
      </c>
      <c r="C473" s="14" t="str">
        <f>IF(Other_Population="","",IF(Effective_Other_BPG_Freq="trimestriel",Calc_BPG!C32,""))</f>
        <v/>
      </c>
      <c r="D473" s="14" t="str">
        <f>IF(Other_Population="","",IF(Effective_Other_BPG_Freq="trimestriel",Calc_BPG!D32,""))</f>
        <v/>
      </c>
      <c r="E473" s="93" t="str">
        <f>IF(Other_Population="","",IF(Effective_Other_BPG_Freq="trimestriel",Other_Y2_Treatment_Target,""))</f>
        <v/>
      </c>
      <c r="F473" s="14" t="str">
        <f>IF(Other_Population="","",IF(Effective_Other_BPG_Freq="trimestriel",Calc_BPG!F32,""))</f>
        <v/>
      </c>
      <c r="G473" s="14" t="str">
        <f>IF(Other_Population="","",IF(Effective_Other_BPG_Freq="trimestriel",Calc_BPG!G32,""))</f>
        <v/>
      </c>
      <c r="H473" s="14" t="str">
        <f>IF(Other_Population="","",IF(Effective_Other_BPG_Freq="trimestriel",Calc_BPG!H32,""))</f>
        <v/>
      </c>
      <c r="I473" s="14" t="str">
        <f>IF(Other_Population="","",IF(Effective_Other_BPG_Freq="trimestriel",Calc_BPG!I32,""))</f>
        <v/>
      </c>
      <c r="J473" s="14" t="str">
        <f>IF(Other_Population="","",IF(Effective_Other_BPG_Freq="trimestriel",Calc_BPG!J32,""))</f>
        <v/>
      </c>
      <c r="K473" s="13" t="str">
        <f t="shared" si="31"/>
        <v/>
      </c>
      <c r="L473" s="93" t="str">
        <f>IF(Other_Population="","",IF(Effective_Other_BPG_Freq="trimestriel",IF(BPG_PackSize="","Enter pack size",CEILING(Calc_BPG!J32/BPG_PackSize,1)),""))</f>
        <v/>
      </c>
    </row>
    <row r="474" spans="1:12" x14ac:dyDescent="0.35">
      <c r="A474" s="93" t="str">
        <f>IF(Other_Population="","",IF(Effective_Other_BPG_Freq="trimestriel","T2",""))</f>
        <v/>
      </c>
      <c r="B474" s="94" t="str">
        <f>IF(Other_Population="","",IF(Effective_Other_BPG_Freq="trimestriel",2,""))</f>
        <v/>
      </c>
      <c r="C474" s="14" t="str">
        <f>IF(Other_Population="","",IF(Effective_Other_BPG_Freq="trimestriel",Calc_BPG!C33,""))</f>
        <v/>
      </c>
      <c r="D474" s="14" t="str">
        <f>IF(Other_Population="","",IF(Effective_Other_BPG_Freq="trimestriel",Calc_BPG!D33,""))</f>
        <v/>
      </c>
      <c r="E474" s="93" t="str">
        <f>IF(Other_Population="","",IF(Effective_Other_BPG_Freq="trimestriel",Other_Y2_Treatment_Target,""))</f>
        <v/>
      </c>
      <c r="F474" s="14" t="str">
        <f>IF(Other_Population="","",IF(Effective_Other_BPG_Freq="trimestriel",Calc_BPG!F33,""))</f>
        <v/>
      </c>
      <c r="G474" s="14" t="str">
        <f>IF(Other_Population="","",IF(Effective_Other_BPG_Freq="trimestriel",Calc_BPG!G33,""))</f>
        <v/>
      </c>
      <c r="H474" s="14" t="str">
        <f>IF(Other_Population="","",IF(Effective_Other_BPG_Freq="trimestriel",Calc_BPG!H33,""))</f>
        <v/>
      </c>
      <c r="I474" s="14" t="str">
        <f>IF(Other_Population="","",IF(Effective_Other_BPG_Freq="trimestriel",Calc_BPG!I33,""))</f>
        <v/>
      </c>
      <c r="J474" s="14" t="str">
        <f>IF(Other_Population="","",IF(Effective_Other_BPG_Freq="trimestriel",Calc_BPG!J33,""))</f>
        <v/>
      </c>
      <c r="K474" s="13" t="str">
        <f t="shared" si="31"/>
        <v/>
      </c>
      <c r="L474" s="93" t="str">
        <f>IF(Other_Population="","",IF(Effective_Other_BPG_Freq="trimestriel",IF(BPG_PackSize="","Enter pack size",CEILING(Calc_BPG!J33/BPG_PackSize,1)),""))</f>
        <v/>
      </c>
    </row>
    <row r="475" spans="1:12" x14ac:dyDescent="0.35">
      <c r="A475" s="93" t="str">
        <f>IF(Other_Population="","",IF(Effective_Other_BPG_Freq="trimestriel","T3",""))</f>
        <v/>
      </c>
      <c r="B475" s="94" t="str">
        <f>IF(Other_Population="","",IF(Effective_Other_BPG_Freq="trimestriel",2,""))</f>
        <v/>
      </c>
      <c r="C475" s="14" t="str">
        <f>IF(Other_Population="","",IF(Effective_Other_BPG_Freq="trimestriel",Calc_BPG!C34,""))</f>
        <v/>
      </c>
      <c r="D475" s="14" t="str">
        <f>IF(Other_Population="","",IF(Effective_Other_BPG_Freq="trimestriel",Calc_BPG!D34,""))</f>
        <v/>
      </c>
      <c r="E475" s="93" t="str">
        <f>IF(Other_Population="","",IF(Effective_Other_BPG_Freq="trimestriel",Other_Y2_Treatment_Target,""))</f>
        <v/>
      </c>
      <c r="F475" s="14" t="str">
        <f>IF(Other_Population="","",IF(Effective_Other_BPG_Freq="trimestriel",Calc_BPG!F34,""))</f>
        <v/>
      </c>
      <c r="G475" s="14" t="str">
        <f>IF(Other_Population="","",IF(Effective_Other_BPG_Freq="trimestriel",Calc_BPG!G34,""))</f>
        <v/>
      </c>
      <c r="H475" s="14" t="str">
        <f>IF(Other_Population="","",IF(Effective_Other_BPG_Freq="trimestriel",Calc_BPG!H34,""))</f>
        <v/>
      </c>
      <c r="I475" s="14" t="str">
        <f>IF(Other_Population="","",IF(Effective_Other_BPG_Freq="trimestriel",Calc_BPG!I34,""))</f>
        <v/>
      </c>
      <c r="J475" s="14" t="str">
        <f>IF(Other_Population="","",IF(Effective_Other_BPG_Freq="trimestriel",Calc_BPG!J34,""))</f>
        <v/>
      </c>
      <c r="K475" s="13" t="str">
        <f t="shared" si="31"/>
        <v/>
      </c>
      <c r="L475" s="93" t="str">
        <f>IF(Other_Population="","",IF(Effective_Other_BPG_Freq="trimestriel",IF(BPG_PackSize="","Enter pack size",CEILING(Calc_BPG!J34/BPG_PackSize,1)),""))</f>
        <v/>
      </c>
    </row>
    <row r="476" spans="1:12" x14ac:dyDescent="0.35">
      <c r="A476" s="93" t="str">
        <f>IF(Other_Population="","",IF(Effective_Other_BPG_Freq="trimestriel","T4",""))</f>
        <v/>
      </c>
      <c r="B476" s="94" t="str">
        <f>IF(Other_Population="","",IF(Effective_Other_BPG_Freq="trimestriel",2,""))</f>
        <v/>
      </c>
      <c r="C476" s="14" t="str">
        <f>IF(Other_Population="","",IF(Effective_Other_BPG_Freq="trimestriel",Calc_BPG!C35,""))</f>
        <v/>
      </c>
      <c r="D476" s="14" t="str">
        <f>IF(Other_Population="","",IF(Effective_Other_BPG_Freq="trimestriel",Calc_BPG!D35,""))</f>
        <v/>
      </c>
      <c r="E476" s="93" t="str">
        <f>IF(Other_Population="","",IF(Effective_Other_BPG_Freq="trimestriel",Other_Y2_Treatment_Target,""))</f>
        <v/>
      </c>
      <c r="F476" s="14" t="str">
        <f>IF(Other_Population="","",IF(Effective_Other_BPG_Freq="trimestriel",Calc_BPG!F35,""))</f>
        <v/>
      </c>
      <c r="G476" s="14" t="str">
        <f>IF(Other_Population="","",IF(Effective_Other_BPG_Freq="trimestriel",Calc_BPG!G35,""))</f>
        <v/>
      </c>
      <c r="H476" s="14" t="str">
        <f>IF(Other_Population="","",IF(Effective_Other_BPG_Freq="trimestriel",Calc_BPG!H35,""))</f>
        <v/>
      </c>
      <c r="I476" s="14" t="str">
        <f>IF(Other_Population="","",IF(Effective_Other_BPG_Freq="trimestriel",Calc_BPG!I35,""))</f>
        <v/>
      </c>
      <c r="J476" s="14" t="str">
        <f>IF(Other_Population="","",IF(Effective_Other_BPG_Freq="trimestriel",Calc_BPG!J35,""))</f>
        <v/>
      </c>
      <c r="K476" s="13" t="str">
        <f t="shared" si="31"/>
        <v/>
      </c>
      <c r="L476" s="93" t="str">
        <f>IF(Other_Population="","",IF(Effective_Other_BPG_Freq="trimestriel",IF(BPG_PackSize="","Enter pack size",CEILING(Calc_BPG!J35/BPG_PackSize,1)),""))</f>
        <v/>
      </c>
    </row>
    <row r="477" spans="1:12" x14ac:dyDescent="0.35">
      <c r="A477" s="93" t="str">
        <f>IF(Other_Population="","",IF(Effective_Other_BPG_Freq="trimestriel","T1",""))</f>
        <v/>
      </c>
      <c r="B477" s="94" t="str">
        <f>IF(Other_Population="","",IF(Effective_Other_BPG_Freq="trimestriel",3,""))</f>
        <v/>
      </c>
      <c r="C477" s="14" t="str">
        <f>IF(Other_Population="","",IF(Effective_Other_BPG_Freq="trimestriel",Calc_BPG!C36,""))</f>
        <v/>
      </c>
      <c r="D477" s="14" t="str">
        <f>IF(Other_Population="","",IF(Effective_Other_BPG_Freq="trimestriel",Calc_BPG!D36,""))</f>
        <v/>
      </c>
      <c r="E477" s="93" t="str">
        <f>IF(Other_Population="","",IF(Effective_Other_BPG_Freq="trimestriel",Other_Y3_Treatment_Target,""))</f>
        <v/>
      </c>
      <c r="F477" s="14" t="str">
        <f>IF(Other_Population="","",IF(Effective_Other_BPG_Freq="trimestriel",Calc_BPG!F36,""))</f>
        <v/>
      </c>
      <c r="G477" s="14" t="str">
        <f>IF(Other_Population="","",IF(Effective_Other_BPG_Freq="trimestriel",Calc_BPG!G36,""))</f>
        <v/>
      </c>
      <c r="H477" s="14" t="str">
        <f>IF(Other_Population="","",IF(Effective_Other_BPG_Freq="trimestriel",Calc_BPG!H36,""))</f>
        <v/>
      </c>
      <c r="I477" s="14" t="str">
        <f>IF(Other_Population="","",IF(Effective_Other_BPG_Freq="trimestriel",Calc_BPG!I36,""))</f>
        <v/>
      </c>
      <c r="J477" s="14" t="str">
        <f>IF(Other_Population="","",IF(Effective_Other_BPG_Freq="trimestriel",Calc_BPG!J36,""))</f>
        <v/>
      </c>
      <c r="K477" s="13" t="str">
        <f t="shared" si="31"/>
        <v/>
      </c>
      <c r="L477" s="93" t="str">
        <f>IF(Other_Population="","",IF(Effective_Other_BPG_Freq="trimestriel",IF(BPG_PackSize="","Enter pack size",CEILING(Calc_BPG!J36/BPG_PackSize,1)),""))</f>
        <v/>
      </c>
    </row>
    <row r="478" spans="1:12" x14ac:dyDescent="0.35">
      <c r="A478" s="93" t="str">
        <f>IF(Other_Population="","",IF(Effective_Other_BPG_Freq="trimestriel","T2",""))</f>
        <v/>
      </c>
      <c r="B478" s="94" t="str">
        <f>IF(Other_Population="","",IF(Effective_Other_BPG_Freq="trimestriel",3,""))</f>
        <v/>
      </c>
      <c r="C478" s="14" t="str">
        <f>IF(Other_Population="","",IF(Effective_Other_BPG_Freq="trimestriel",Calc_BPG!C37,""))</f>
        <v/>
      </c>
      <c r="D478" s="14" t="str">
        <f>IF(Other_Population="","",IF(Effective_Other_BPG_Freq="trimestriel",Calc_BPG!D37,""))</f>
        <v/>
      </c>
      <c r="E478" s="93" t="str">
        <f>IF(Other_Population="","",IF(Effective_Other_BPG_Freq="trimestriel",Other_Y3_Treatment_Target,""))</f>
        <v/>
      </c>
      <c r="F478" s="14" t="str">
        <f>IF(Other_Population="","",IF(Effective_Other_BPG_Freq="trimestriel",Calc_BPG!F37,""))</f>
        <v/>
      </c>
      <c r="G478" s="14" t="str">
        <f>IF(Other_Population="","",IF(Effective_Other_BPG_Freq="trimestriel",Calc_BPG!G37,""))</f>
        <v/>
      </c>
      <c r="H478" s="14" t="str">
        <f>IF(Other_Population="","",IF(Effective_Other_BPG_Freq="trimestriel",Calc_BPG!H37,""))</f>
        <v/>
      </c>
      <c r="I478" s="14" t="str">
        <f>IF(Other_Population="","",IF(Effective_Other_BPG_Freq="trimestriel",Calc_BPG!I37,""))</f>
        <v/>
      </c>
      <c r="J478" s="14" t="str">
        <f>IF(Other_Population="","",IF(Effective_Other_BPG_Freq="trimestriel",Calc_BPG!J37,""))</f>
        <v/>
      </c>
      <c r="K478" s="13" t="str">
        <f t="shared" si="31"/>
        <v/>
      </c>
      <c r="L478" s="93" t="str">
        <f>IF(Other_Population="","",IF(Effective_Other_BPG_Freq="trimestriel",IF(BPG_PackSize="","Enter pack size",CEILING(Calc_BPG!J37/BPG_PackSize,1)),""))</f>
        <v/>
      </c>
    </row>
    <row r="479" spans="1:12" x14ac:dyDescent="0.35">
      <c r="A479" s="93" t="str">
        <f>IF(Other_Population="","",IF(Effective_Other_BPG_Freq="trimestriel","T3",""))</f>
        <v/>
      </c>
      <c r="B479" s="94" t="str">
        <f>IF(Other_Population="","",IF(Effective_Other_BPG_Freq="trimestriel",3,""))</f>
        <v/>
      </c>
      <c r="C479" s="14" t="str">
        <f>IF(Other_Population="","",IF(Effective_Other_BPG_Freq="trimestriel",Calc_BPG!C38,""))</f>
        <v/>
      </c>
      <c r="D479" s="14" t="str">
        <f>IF(Other_Population="","",IF(Effective_Other_BPG_Freq="trimestriel",Calc_BPG!D38,""))</f>
        <v/>
      </c>
      <c r="E479" s="93" t="str">
        <f>IF(Other_Population="","",IF(Effective_Other_BPG_Freq="trimestriel",Other_Y3_Treatment_Target,""))</f>
        <v/>
      </c>
      <c r="F479" s="14" t="str">
        <f>IF(Other_Population="","",IF(Effective_Other_BPG_Freq="trimestriel",Calc_BPG!F38,""))</f>
        <v/>
      </c>
      <c r="G479" s="14" t="str">
        <f>IF(Other_Population="","",IF(Effective_Other_BPG_Freq="trimestriel",Calc_BPG!G38,""))</f>
        <v/>
      </c>
      <c r="H479" s="14" t="str">
        <f>IF(Other_Population="","",IF(Effective_Other_BPG_Freq="trimestriel",Calc_BPG!H38,""))</f>
        <v/>
      </c>
      <c r="I479" s="14" t="str">
        <f>IF(Other_Population="","",IF(Effective_Other_BPG_Freq="trimestriel",Calc_BPG!I38,""))</f>
        <v/>
      </c>
      <c r="J479" s="14" t="str">
        <f>IF(Other_Population="","",IF(Effective_Other_BPG_Freq="trimestriel",Calc_BPG!J38,""))</f>
        <v/>
      </c>
      <c r="K479" s="13" t="str">
        <f t="shared" si="31"/>
        <v/>
      </c>
      <c r="L479" s="93" t="str">
        <f>IF(Other_Population="","",IF(Effective_Other_BPG_Freq="trimestriel",IF(BPG_PackSize="","Enter pack size",CEILING(Calc_BPG!J38/BPG_PackSize,1)),""))</f>
        <v/>
      </c>
    </row>
    <row r="480" spans="1:12" x14ac:dyDescent="0.35">
      <c r="A480" s="93" t="str">
        <f>IF(Other_Population="","",IF(Effective_Other_BPG_Freq="trimestriel","T4",""))</f>
        <v/>
      </c>
      <c r="B480" s="94" t="str">
        <f>IF(Other_Population="","",IF(Effective_Other_BPG_Freq="trimestriel",3,""))</f>
        <v/>
      </c>
      <c r="C480" s="14" t="str">
        <f>IF(Other_Population="","",IF(Effective_Other_BPG_Freq="trimestriel",Calc_BPG!C39,""))</f>
        <v/>
      </c>
      <c r="D480" s="14" t="str">
        <f>IF(Other_Population="","",IF(Effective_Other_BPG_Freq="trimestriel",Calc_BPG!D39,""))</f>
        <v/>
      </c>
      <c r="E480" s="93" t="str">
        <f>IF(Other_Population="","",IF(Effective_Other_BPG_Freq="trimestriel",Other_Y3_Treatment_Target,""))</f>
        <v/>
      </c>
      <c r="F480" s="14" t="str">
        <f>IF(Other_Population="","",IF(Effective_Other_BPG_Freq="trimestriel",Calc_BPG!F39,""))</f>
        <v/>
      </c>
      <c r="G480" s="14" t="str">
        <f>IF(Other_Population="","",IF(Effective_Other_BPG_Freq="trimestriel",Calc_BPG!G39,""))</f>
        <v/>
      </c>
      <c r="H480" s="14" t="str">
        <f>IF(Other_Population="","",IF(Effective_Other_BPG_Freq="trimestriel",Calc_BPG!H39,""))</f>
        <v/>
      </c>
      <c r="I480" s="14" t="str">
        <f>IF(Other_Population="","",IF(Effective_Other_BPG_Freq="trimestriel",Calc_BPG!I39,""))</f>
        <v/>
      </c>
      <c r="J480" s="14" t="str">
        <f>IF(Other_Population="","",IF(Effective_Other_BPG_Freq="trimestriel",Calc_BPG!J39,""))</f>
        <v/>
      </c>
      <c r="K480" s="13" t="str">
        <f t="shared" si="31"/>
        <v/>
      </c>
      <c r="L480" s="93" t="str">
        <f>IF(Other_Population="","",IF(Effective_Other_BPG_Freq="trimestriel",IF(BPG_PackSize="","Enter pack size",CEILING(Calc_BPG!J39/BPG_PackSize,1)),""))</f>
        <v/>
      </c>
    </row>
    <row r="481" spans="1:13" x14ac:dyDescent="0.35">
      <c r="A481" s="97"/>
      <c r="B481" s="98"/>
    </row>
    <row r="482" spans="1:13" x14ac:dyDescent="0.35">
      <c r="A482" s="24" t="str">
        <f>IF(Other_Population="","",IF(Effective_Other_BPG_Freq="trimestriel","Total Année 1",""))</f>
        <v/>
      </c>
      <c r="B482" s="105"/>
      <c r="C482" s="105"/>
      <c r="D482" s="105"/>
      <c r="E482" s="105"/>
      <c r="F482" s="106"/>
      <c r="G482" s="106"/>
      <c r="H482" s="107"/>
      <c r="I482" s="107"/>
      <c r="J482" s="107" t="str">
        <f>IF(Other_Population="","",IF(Effective_Other_BPG_Freq="trimestriel",Calc_BPG!J41,""))</f>
        <v/>
      </c>
      <c r="K482" s="107"/>
      <c r="L482" s="107" t="str">
        <f>IF(Other_Population="","",IF(Effective_Other_BPG_Freq="trimestriel",SUM(L469:L472),""))</f>
        <v/>
      </c>
    </row>
    <row r="483" spans="1:13" x14ac:dyDescent="0.35">
      <c r="A483" s="24" t="str">
        <f>IF(Other_Population="","",IF(Effective_Other_BPG_Freq="trimestriel","Total Année 2",""))</f>
        <v/>
      </c>
      <c r="B483" s="105"/>
      <c r="C483" s="105"/>
      <c r="D483" s="105"/>
      <c r="E483" s="105"/>
      <c r="F483" s="106"/>
      <c r="G483" s="106"/>
      <c r="H483" s="107"/>
      <c r="I483" s="107"/>
      <c r="J483" s="107" t="str">
        <f>IF(Other_Population="","",IF(Effective_Other_BPG_Freq="trimestriel",Calc_BPG!J42,""))</f>
        <v/>
      </c>
      <c r="K483" s="107"/>
      <c r="L483" s="107" t="str">
        <f>IF(Other_Population="","",IF(Effective_Other_BPG_Freq="trimestriel",SUM(L473:L476),""))</f>
        <v/>
      </c>
    </row>
    <row r="484" spans="1:13" x14ac:dyDescent="0.35">
      <c r="A484" s="24" t="str">
        <f>IF(Other_Population="","",IF(Effective_Other_BPG_Freq="trimestriel","Total Année 3",""))</f>
        <v/>
      </c>
      <c r="B484" s="105"/>
      <c r="C484" s="105"/>
      <c r="D484" s="105"/>
      <c r="E484" s="105"/>
      <c r="F484" s="106"/>
      <c r="G484" s="106"/>
      <c r="H484" s="107"/>
      <c r="I484" s="107"/>
      <c r="J484" s="107" t="str">
        <f>IF(Other_Population="","",IF(Effective_Other_BPG_Freq="trimestriel",Calc_BPG!J43,""))</f>
        <v/>
      </c>
      <c r="K484" s="107"/>
      <c r="L484" s="107" t="str">
        <f>IF(Other_Population="","",IF(Effective_Other_BPG_Freq="trimestriel",SUM(L477:L480),""))</f>
        <v/>
      </c>
    </row>
    <row r="485" spans="1:13" x14ac:dyDescent="0.35">
      <c r="A485" s="9"/>
      <c r="B485" s="9"/>
      <c r="C485" s="9"/>
      <c r="D485" s="9"/>
      <c r="E485" s="9"/>
      <c r="F485" s="9"/>
      <c r="G485" s="9"/>
      <c r="H485" s="9"/>
      <c r="I485" s="9"/>
      <c r="J485" s="95"/>
      <c r="K485" s="9"/>
      <c r="L485" s="95"/>
    </row>
    <row r="486" spans="1:13" s="96" customFormat="1" ht="16" x14ac:dyDescent="0.4">
      <c r="A486" s="86" t="str">
        <f>IF(Other_Population="","",IF(Effective_Other_BPG_Freq="trimestriel","TOTAL SUR 3 ANS",""))</f>
        <v/>
      </c>
      <c r="B486" s="91"/>
      <c r="C486" s="91"/>
      <c r="D486" s="91"/>
      <c r="E486" s="91"/>
      <c r="F486" s="91"/>
      <c r="G486" s="91"/>
      <c r="H486" s="91"/>
      <c r="I486" s="91"/>
      <c r="J486" s="87" t="str">
        <f>IF(Other_Population="","",IF(Effective_Other_BPG_Freq="trimestriel",Calc_BPG!J45,""))</f>
        <v/>
      </c>
      <c r="K486" s="91"/>
      <c r="L486" s="87" t="str">
        <f>IF(Other_Population="","",IF(Effective_Other_BPG_Freq="trimestriel",SUM(L482:L484),""))</f>
        <v/>
      </c>
    </row>
    <row r="487" spans="1:13" x14ac:dyDescent="0.35">
      <c r="A487" s="97"/>
      <c r="B487" s="98"/>
    </row>
    <row r="488" spans="1:13" x14ac:dyDescent="0.35">
      <c r="A488" s="97" t="s">
        <v>70</v>
      </c>
      <c r="B488" s="98" t="str">
        <f>IF(Other_Population="","",IF(Effective_Other_BPG_Freq="Annuel",L446,IF(Effective_Other_BPG_Freq="semestriel",L461,IF(Effective_Other_BPG_Freq="trimestriel",L482,""))))</f>
        <v/>
      </c>
    </row>
    <row r="489" spans="1:13" x14ac:dyDescent="0.35">
      <c r="A489" s="97" t="s">
        <v>71</v>
      </c>
      <c r="B489" s="98" t="str">
        <f>IF(Other_Population="","",IF(Effective_Other_BPG_Freq="Annuel",L447,IF(Effective_Other_BPG_Freq="semestriel",L462,IF(Effective_Other_BPG_Freq="trimestriel",L483,""))))</f>
        <v/>
      </c>
    </row>
    <row r="490" spans="1:13" x14ac:dyDescent="0.35">
      <c r="A490" s="97" t="s">
        <v>72</v>
      </c>
      <c r="B490" s="98" t="str">
        <f>IF(Other_Population="","",IF(Effective_Other_BPG_Freq="Annuel",L448,IF(Effective_Other_BPG_Freq="semestriel",L463,IF(Effective_Other_BPG_Freq="trimestriel",L484,""))))</f>
        <v/>
      </c>
    </row>
    <row r="491" spans="1:13" x14ac:dyDescent="0.35">
      <c r="A491" s="97" t="s">
        <v>73</v>
      </c>
      <c r="B491" s="98" t="str">
        <f>IFERROR(B488+B489+B490,"")</f>
        <v/>
      </c>
    </row>
    <row r="492" spans="1:13" ht="15" thickBot="1" x14ac:dyDescent="0.4"/>
    <row r="493" spans="1:13" ht="16.5" thickBot="1" x14ac:dyDescent="0.45">
      <c r="A493" s="377" t="s">
        <v>579</v>
      </c>
      <c r="B493" s="378"/>
      <c r="C493" s="378"/>
      <c r="D493" s="378"/>
      <c r="E493" s="378"/>
      <c r="F493" s="378"/>
      <c r="G493" s="378"/>
      <c r="H493" s="378"/>
      <c r="I493" s="378"/>
      <c r="J493" s="378"/>
      <c r="K493" s="378"/>
      <c r="L493" s="378"/>
      <c r="M493" s="379"/>
    </row>
    <row r="494" spans="1:13" x14ac:dyDescent="0.35">
      <c r="A494" s="97"/>
      <c r="B494" s="98"/>
    </row>
    <row r="495" spans="1:13" x14ac:dyDescent="0.35">
      <c r="A495" s="163" t="s">
        <v>536</v>
      </c>
    </row>
    <row r="496" spans="1:13" ht="58" x14ac:dyDescent="0.35">
      <c r="A496" s="58" t="s">
        <v>537</v>
      </c>
      <c r="B496" s="58" t="s">
        <v>538</v>
      </c>
      <c r="C496" s="57" t="s">
        <v>577</v>
      </c>
      <c r="D496" s="57" t="s">
        <v>555</v>
      </c>
      <c r="E496" s="57" t="s">
        <v>556</v>
      </c>
      <c r="F496" s="57" t="s">
        <v>580</v>
      </c>
      <c r="G496" s="57" t="s">
        <v>561</v>
      </c>
      <c r="H496" s="57" t="s">
        <v>581</v>
      </c>
      <c r="I496" s="57" t="s">
        <v>543</v>
      </c>
      <c r="J496" s="57" t="s">
        <v>544</v>
      </c>
      <c r="K496" s="57" t="s">
        <v>546</v>
      </c>
      <c r="L496" s="57" t="s">
        <v>547</v>
      </c>
      <c r="M496" s="57" t="s">
        <v>548</v>
      </c>
    </row>
    <row r="497" spans="1:13" x14ac:dyDescent="0.35">
      <c r="A497" s="93" t="str">
        <f>IF(HBV_Other_Population="","",IF(Effective_Other_TDF_Freq="Annuel","Année 1",""))</f>
        <v/>
      </c>
      <c r="B497" s="94" t="str">
        <f>IF(HBV_Other_Population="","",IF(Effective_Other_TDF_Freq="Annuel",1,""))</f>
        <v/>
      </c>
      <c r="C497" s="14" t="str">
        <f>IF(HBV_Other_Population="","",IF(Effective_Other_TDF_Freq="Annuel",Calc_TDF!C28*4,""))</f>
        <v/>
      </c>
      <c r="D497" s="14" t="str">
        <f>IF(HBV_Other_Population="","",IF(Effective_Other_TDF_Freq="Annuel",Calc_TDF!D28*4,""))</f>
        <v/>
      </c>
      <c r="E497" s="93" t="str">
        <f>IF(HBV_Other_Population="","",IF(Effective_Other_TDF_Freq="Annuel",HBV_Other_Y1_Treatment_Target,""))</f>
        <v/>
      </c>
      <c r="F497" s="14" t="str">
        <f>IF(HBV_Other_Population="","",IF(Effective_Other_TDF_Freq="Annuel",Calc_TDF!F28*4,""))</f>
        <v/>
      </c>
      <c r="G497" s="14" t="str">
        <f>IF(HBV_Other_Population="","",IF(Effective_Other_TDF_Freq="Annuel",Calc_TDF!G28*4,""))</f>
        <v/>
      </c>
      <c r="H497" s="14" t="str">
        <f>IF(HBV_Other_Population="","",IF(Effective_Other_TDF_Freq="Annuel",Other_TDF_Supply_PerPerson,""))</f>
        <v/>
      </c>
      <c r="I497" s="14" t="str">
        <f>IF(HBV_Other_Population="","",IF(Effective_Other_TDF_Freq="Annuel",Calc_TDF!I41,""))</f>
        <v/>
      </c>
      <c r="J497" s="14" t="str">
        <f>IF(HBV_Other_Population="","",IF(Effective_Other_TDF_Freq="Annuel",Calc_TDF!J41,""))</f>
        <v/>
      </c>
      <c r="K497" s="14" t="str">
        <f>IF(HBV_Other_Population="","",IF(Effective_Other_TDF_Freq="Annuel",Calc_TDF!K41,""))</f>
        <v/>
      </c>
      <c r="L497" s="93" t="str">
        <f>IF(HBV_Other_Population="","",IF(Effective_Other_TDF_Freq="Annuel",TDF_PackSize,""))</f>
        <v/>
      </c>
      <c r="M497" s="94" t="str">
        <f>IF(HBV_Other_Population="","",IF(Effective_Other_TDF_Freq="Annuel",IF(TDF_PackSize="","Enter pack size",CEILING(K497/L497,1)),""))</f>
        <v/>
      </c>
    </row>
    <row r="498" spans="1:13" x14ac:dyDescent="0.35">
      <c r="A498" s="93" t="str">
        <f>IF(HBV_Other_Population="","",IF(Effective_Other_TDF_Freq="Annuel","Année 2",""))</f>
        <v/>
      </c>
      <c r="B498" s="94" t="str">
        <f>IF(HBV_Other_Population="","",IF(Effective_Other_TDF_Freq="Annuel",2,""))</f>
        <v/>
      </c>
      <c r="C498" s="14" t="str">
        <f>IF(HBV_Other_Population="","",IF(Effective_Other_TDF_Freq="Annuel",Calc_TDF!C32*4,""))</f>
        <v/>
      </c>
      <c r="D498" s="14" t="str">
        <f>IF(HBV_Other_Population="","",IF(Effective_Other_TDF_Freq="Annuel",Calc_TDF!D32*4,""))</f>
        <v/>
      </c>
      <c r="E498" s="93" t="str">
        <f>IF(HBV_Other_Population="","",IF(Effective_Other_TDF_Freq="Annuel",HBV_Other_Y2_Treatment_Target,""))</f>
        <v/>
      </c>
      <c r="F498" s="14" t="str">
        <f>IF(HBV_Other_Population="","",IF(Effective_Other_TDF_Freq="Annuel",Calc_TDF!F32*4,""))</f>
        <v/>
      </c>
      <c r="G498" s="14" t="str">
        <f>IF(HBV_Other_Population="","",IF(Effective_Other_TDF_Freq="Annuel",Calc_TDF!G32*4,""))</f>
        <v/>
      </c>
      <c r="H498" s="14" t="str">
        <f>IF(HBV_Other_Population="","",IF(Effective_Other_TDF_Freq="Annuel",Other_TDF_Supply_PerPerson,""))</f>
        <v/>
      </c>
      <c r="I498" s="14" t="str">
        <f>IF(HBV_Other_Population="","",IF(Effective_Other_TDF_Freq="Annuel",Calc_TDF!I42,""))</f>
        <v/>
      </c>
      <c r="J498" s="14" t="str">
        <f>IF(HBV_Other_Population="","",IF(Effective_Other_TDF_Freq="Annuel",Calc_TDF!J42,""))</f>
        <v/>
      </c>
      <c r="K498" s="14" t="str">
        <f>IF(HBV_Other_Population="","",IF(Effective_Other_TDF_Freq="Annuel",Calc_TDF!K42,""))</f>
        <v/>
      </c>
      <c r="L498" s="93" t="str">
        <f>IF(HBV_Other_Population="","",IF(Effective_Other_TDF_Freq="Annuel",TDF_PackSize,""))</f>
        <v/>
      </c>
      <c r="M498" s="94" t="str">
        <f>IF(HBV_Other_Population="","",IF(Effective_Other_TDF_Freq="Annuel",IF(TDF_PackSize="","Enter pack size",CEILING(K498/L498,1)),""))</f>
        <v/>
      </c>
    </row>
    <row r="499" spans="1:13" x14ac:dyDescent="0.35">
      <c r="A499" s="93" t="str">
        <f>IF(HBV_Other_Population="","",IF(Effective_Other_TDF_Freq="Annuel","Année 3",""))</f>
        <v/>
      </c>
      <c r="B499" s="94" t="str">
        <f>IF(HBV_Other_Population="","",IF(Effective_Other_TDF_Freq="Annuel",3,""))</f>
        <v/>
      </c>
      <c r="C499" s="14" t="str">
        <f>IF(HBV_Other_Population="","",IF(Effective_Other_TDF_Freq="Annuel",Calc_TDF!C36*4,""))</f>
        <v/>
      </c>
      <c r="D499" s="14" t="str">
        <f>IF(HBV_Other_Population="","",IF(Effective_Other_TDF_Freq="Annuel",Calc_TDF!D36*4,""))</f>
        <v/>
      </c>
      <c r="E499" s="93" t="str">
        <f>IF(HBV_Other_Population="","",IF(Effective_Other_TDF_Freq="Annuel",HBV_Other_Y3_Treatment_Target,""))</f>
        <v/>
      </c>
      <c r="F499" s="14" t="str">
        <f>IF(HBV_Other_Population="","",IF(Effective_Other_TDF_Freq="Annuel",Calc_TDF!F36*4,""))</f>
        <v/>
      </c>
      <c r="G499" s="14" t="str">
        <f>IF(HBV_Other_Population="","",IF(Effective_Other_TDF_Freq="Annuel",Calc_TDF!G36*4,""))</f>
        <v/>
      </c>
      <c r="H499" s="14" t="str">
        <f>IF(HBV_Other_Population="","",IF(Effective_Other_TDF_Freq="Annuel",Other_TDF_Supply_PerPerson,""))</f>
        <v/>
      </c>
      <c r="I499" s="14" t="str">
        <f>IF(HBV_Other_Population="","",IF(Effective_Other_TDF_Freq="Annuel",Calc_TDF!I43,""))</f>
        <v/>
      </c>
      <c r="J499" s="14" t="str">
        <f>IF(HBV_Other_Population="","",IF(Effective_Other_TDF_Freq="Annuel",Calc_TDF!J43,""))</f>
        <v/>
      </c>
      <c r="K499" s="14" t="str">
        <f>IF(HBV_Other_Population="","",IF(Effective_Other_TDF_Freq="Annuel",Calc_TDF!K43,""))</f>
        <v/>
      </c>
      <c r="L499" s="93" t="str">
        <f>IF(HBV_Other_Population="","",IF(Effective_Other_TDF_Freq="Annuel",TDF_PackSize,""))</f>
        <v/>
      </c>
      <c r="M499" s="94" t="str">
        <f>IF(HBV_Other_Population="","",IF(Effective_Other_TDF_Freq="Annuel",IF(TDF_PackSize="","Enter pack size",CEILING(K499/L499,1)),""))</f>
        <v/>
      </c>
    </row>
    <row r="500" spans="1:13" x14ac:dyDescent="0.35">
      <c r="A500" s="97"/>
      <c r="B500" s="98"/>
    </row>
    <row r="501" spans="1:13" s="96" customFormat="1" ht="16" x14ac:dyDescent="0.4">
      <c r="A501" s="86" t="str">
        <f>IF(HBV_Other_Population="","",IF(Effective_Other_TDF_Freq="Annuel","TOTAL SUR 3 ANS",""))</f>
        <v/>
      </c>
      <c r="B501" s="91"/>
      <c r="C501" s="91"/>
      <c r="D501" s="91"/>
      <c r="E501" s="91"/>
      <c r="F501" s="91"/>
      <c r="G501" s="91"/>
      <c r="H501" s="91"/>
      <c r="I501" s="91"/>
      <c r="J501" s="91"/>
      <c r="K501" s="87" t="str">
        <f>IF(HBV_Other_Population="","",IF(Effective_Other_TDF_Freq="Annuel",SUM(K497:K499),""))</f>
        <v/>
      </c>
      <c r="L501" s="91"/>
      <c r="M501" s="87" t="str">
        <f>IF(HBV_Other_Population="","",IF(Effective_Other_TDF_Freq="Annuel",SUM(M497:M499),""))</f>
        <v/>
      </c>
    </row>
    <row r="502" spans="1:13" x14ac:dyDescent="0.35">
      <c r="A502" s="97"/>
      <c r="B502" s="98"/>
    </row>
    <row r="503" spans="1:13" ht="16" x14ac:dyDescent="0.4">
      <c r="A503" s="163" t="s">
        <v>549</v>
      </c>
      <c r="B503" s="92"/>
      <c r="C503" s="92"/>
      <c r="D503" s="92"/>
      <c r="E503" s="92"/>
      <c r="F503" s="92"/>
      <c r="G503" s="92"/>
      <c r="H503" s="92"/>
      <c r="I503" s="92"/>
      <c r="J503" s="92"/>
      <c r="K503" s="80"/>
      <c r="L503" s="92"/>
      <c r="M503" s="80"/>
    </row>
    <row r="504" spans="1:13" ht="58" x14ac:dyDescent="0.35">
      <c r="A504" s="58" t="s">
        <v>537</v>
      </c>
      <c r="B504" s="58" t="s">
        <v>538</v>
      </c>
      <c r="C504" s="57" t="s">
        <v>577</v>
      </c>
      <c r="D504" s="57" t="s">
        <v>555</v>
      </c>
      <c r="E504" s="57" t="s">
        <v>556</v>
      </c>
      <c r="F504" s="57" t="s">
        <v>580</v>
      </c>
      <c r="G504" s="57" t="s">
        <v>561</v>
      </c>
      <c r="H504" s="57" t="s">
        <v>581</v>
      </c>
      <c r="I504" s="57" t="s">
        <v>543</v>
      </c>
      <c r="J504" s="57" t="s">
        <v>544</v>
      </c>
      <c r="K504" s="57" t="s">
        <v>546</v>
      </c>
      <c r="L504" s="57" t="s">
        <v>547</v>
      </c>
      <c r="M504" s="57" t="s">
        <v>548</v>
      </c>
    </row>
    <row r="505" spans="1:13" x14ac:dyDescent="0.35">
      <c r="A505" s="93" t="str">
        <f>IF(HBV_Other_Population="","",IF(Effective_Other_TDF_Freq="semestriel","S1",""))</f>
        <v/>
      </c>
      <c r="B505" s="13" t="str">
        <f>IF(HBV_Other_Population="","",IF(Effective_Other_TDF_Freq="semestriel",1,""))</f>
        <v/>
      </c>
      <c r="C505" s="14" t="str">
        <f>IF(HBV_Other_Population="","",IF(Effective_Other_TDF_Freq="semestriel",SUM(Calc_TDF!C28:C29),""))</f>
        <v/>
      </c>
      <c r="D505" s="14" t="str">
        <f>IF(HBV_Other_Population="","",IF(Effective_Other_TDF_Freq="semestriel",SUM(Calc_TDF!D28:D29),""))</f>
        <v/>
      </c>
      <c r="E505" s="93" t="str">
        <f>IF(HBV_Other_Population="","",IF(Effective_Other_TDF_Freq="semestriel",HBV_Other_Y1_Treatment_Target,""))</f>
        <v/>
      </c>
      <c r="F505" s="14" t="str">
        <f>IF(HBV_Other_Population="","",IF(Effective_Other_TDF_Freq="semestriel",SUM(Calc_TDF!F28:F29),""))</f>
        <v/>
      </c>
      <c r="G505" s="14" t="str">
        <f>IF(HBV_Other_Population="","",IF(Effective_Other_TDF_Freq="semestriel",SUM(Calc_TDF!G28:G29),""))</f>
        <v/>
      </c>
      <c r="H505" s="14" t="str">
        <f t="shared" ref="H505:H510" si="32">IF(HBV_Other_Population="","",IF(Effective_Other_TDF_Freq="semestriel",Other_TDF_Supply_PerPerson,""))</f>
        <v/>
      </c>
      <c r="I505" s="14" t="str">
        <f>IF(HBV_Other_Population="","",IF(Effective_Other_TDF_Freq="semestriel",SUM(Calc_TDF!I28:I29),""))</f>
        <v/>
      </c>
      <c r="J505" s="14" t="str">
        <f>IF(HBV_Other_Population="","",IF(Effective_Other_TDF_Freq="semestriel",SUM(Calc_TDF!J28:J29),""))</f>
        <v/>
      </c>
      <c r="K505" s="14" t="str">
        <f>IF(HBV_Other_Population="","",IF(Effective_Other_TDF_Freq="semestriel",SUM(Calc_TDF!K28:K29),""))</f>
        <v/>
      </c>
      <c r="L505" s="13" t="str">
        <f t="shared" ref="L505:L510" si="33">IF(HBV_Other_Population="","",IF(Effective_Other_TDF_Freq="semestriel",TDF_PackSize,""))</f>
        <v/>
      </c>
      <c r="M505" s="94" t="str">
        <f t="shared" ref="M505:M510" si="34">IF(HBV_Other_Population="","",IF(Effective_Other_TDF_Freq="semestriel",IF(TDF_PackSize="","Enter pack size",CEILING((K505)/L505,1)),""))</f>
        <v/>
      </c>
    </row>
    <row r="506" spans="1:13" x14ac:dyDescent="0.35">
      <c r="A506" s="93" t="str">
        <f>IF(HBV_Other_Population="","",IF(Effective_Other_TDF_Freq="semestriel","S2",""))</f>
        <v/>
      </c>
      <c r="B506" s="13" t="str">
        <f>IF(HBV_Other_Population="","",IF(Effective_Other_TDF_Freq="semestriel",1,""))</f>
        <v/>
      </c>
      <c r="C506" s="14" t="str">
        <f>IF(HBV_Other_Population="","",IF(Effective_Other_TDF_Freq="semestriel",SUM(Calc_TDF!C30:C31),""))</f>
        <v/>
      </c>
      <c r="D506" s="14" t="str">
        <f>IF(HBV_Other_Population="","",IF(Effective_Other_TDF_Freq="semestriel",SUM(Calc_TDF!D30:D31),""))</f>
        <v/>
      </c>
      <c r="E506" s="93" t="str">
        <f>IF(HBV_Other_Population="","",IF(Effective_Other_TDF_Freq="semestriel",HBV_Other_Y1_Treatment_Target,""))</f>
        <v/>
      </c>
      <c r="F506" s="14" t="str">
        <f>IF(HBV_Other_Population="","",IF(Effective_Other_TDF_Freq="semestriel",SUM(Calc_TDF!F30:F31),""))</f>
        <v/>
      </c>
      <c r="G506" s="14" t="str">
        <f>IF(HBV_Other_Population="","",IF(Effective_Other_TDF_Freq="semestriel",SUM(Calc_TDF!G30:G31),""))</f>
        <v/>
      </c>
      <c r="H506" s="14" t="str">
        <f t="shared" si="32"/>
        <v/>
      </c>
      <c r="I506" s="14" t="str">
        <f>IF(HBV_Other_Population="","",IF(Effective_Other_TDF_Freq="semestriel",SUM(Calc_TDF!I30:I31),""))</f>
        <v/>
      </c>
      <c r="J506" s="14" t="str">
        <f>IF(HBV_Other_Population="","",IF(Effective_Other_TDF_Freq="semestriel",SUM(Calc_TDF!J30:J31),""))</f>
        <v/>
      </c>
      <c r="K506" s="14" t="str">
        <f>IF(HBV_Other_Population="","",IF(Effective_Other_TDF_Freq="semestriel",SUM(Calc_TDF!K30:K31),""))</f>
        <v/>
      </c>
      <c r="L506" s="13" t="str">
        <f t="shared" si="33"/>
        <v/>
      </c>
      <c r="M506" s="94" t="str">
        <f t="shared" si="34"/>
        <v/>
      </c>
    </row>
    <row r="507" spans="1:13" x14ac:dyDescent="0.35">
      <c r="A507" s="93" t="str">
        <f>IF(HBV_Other_Population="","",IF(Effective_Other_TDF_Freq="semestriel","S1",""))</f>
        <v/>
      </c>
      <c r="B507" s="13" t="str">
        <f>IF(HBV_Other_Population="","",IF(Effective_Other_TDF_Freq="semestriel",2,""))</f>
        <v/>
      </c>
      <c r="C507" s="14" t="str">
        <f>IF(HBV_Other_Population="","",IF(Effective_Other_TDF_Freq="semestriel",SUM(Calc_TDF!C32:C33),""))</f>
        <v/>
      </c>
      <c r="D507" s="14" t="str">
        <f>IF(HBV_Other_Population="","",IF(Effective_Other_TDF_Freq="semestriel",SUM(Calc_TDF!D32:D33),""))</f>
        <v/>
      </c>
      <c r="E507" s="93" t="str">
        <f>IF(HBV_Other_Population="","",IF(Effective_Other_TDF_Freq="semestriel",HBV_Other_Y2_Treatment_Target,""))</f>
        <v/>
      </c>
      <c r="F507" s="14" t="str">
        <f>IF(HBV_Other_Population="","",IF(Effective_Other_TDF_Freq="semestriel",SUM(Calc_TDF!F32:F33),""))</f>
        <v/>
      </c>
      <c r="G507" s="14" t="str">
        <f>IF(HBV_Other_Population="","",IF(Effective_Other_TDF_Freq="semestriel",SUM(Calc_TDF!G32:G33),""))</f>
        <v/>
      </c>
      <c r="H507" s="14" t="str">
        <f t="shared" si="32"/>
        <v/>
      </c>
      <c r="I507" s="14" t="str">
        <f>IF(HBV_Other_Population="","",IF(Effective_Other_TDF_Freq="semestriel",SUM(Calc_TDF!I32:I33),""))</f>
        <v/>
      </c>
      <c r="J507" s="14" t="str">
        <f>IF(HBV_Other_Population="","",IF(Effective_Other_TDF_Freq="semestriel",SUM(Calc_TDF!J32:J33),""))</f>
        <v/>
      </c>
      <c r="K507" s="14" t="str">
        <f>IF(HBV_Other_Population="","",IF(Effective_Other_TDF_Freq="semestriel",SUM(Calc_TDF!K32:K33),""))</f>
        <v/>
      </c>
      <c r="L507" s="13" t="str">
        <f t="shared" si="33"/>
        <v/>
      </c>
      <c r="M507" s="94" t="str">
        <f t="shared" si="34"/>
        <v/>
      </c>
    </row>
    <row r="508" spans="1:13" x14ac:dyDescent="0.35">
      <c r="A508" s="93" t="str">
        <f>IF(HBV_Other_Population="","",IF(Effective_Other_TDF_Freq="semestriel","S2",""))</f>
        <v/>
      </c>
      <c r="B508" s="13" t="str">
        <f>IF(HBV_Other_Population="","",IF(Effective_Other_TDF_Freq="semestriel",2,""))</f>
        <v/>
      </c>
      <c r="C508" s="14" t="str">
        <f>IF(HBV_Other_Population="","",IF(Effective_Other_TDF_Freq="semestriel",SUM(Calc_TDF!C34:C35),""))</f>
        <v/>
      </c>
      <c r="D508" s="14" t="str">
        <f>IF(HBV_Other_Population="","",IF(Effective_Other_TDF_Freq="semestriel",SUM(Calc_TDF!D34:D35),""))</f>
        <v/>
      </c>
      <c r="E508" s="93" t="str">
        <f>IF(HBV_Other_Population="","",IF(Effective_Other_TDF_Freq="semestriel",HBV_Other_Y2_Treatment_Target,""))</f>
        <v/>
      </c>
      <c r="F508" s="14" t="str">
        <f>IF(HBV_Other_Population="","",IF(Effective_Other_TDF_Freq="semestriel",SUM(Calc_TDF!F34:F35),""))</f>
        <v/>
      </c>
      <c r="G508" s="14" t="str">
        <f>IF(HBV_Other_Population="","",IF(Effective_Other_TDF_Freq="semestriel",SUM(Calc_TDF!G34:G35),""))</f>
        <v/>
      </c>
      <c r="H508" s="14" t="str">
        <f t="shared" si="32"/>
        <v/>
      </c>
      <c r="I508" s="14" t="str">
        <f>IF(HBV_Other_Population="","",IF(Effective_Other_TDF_Freq="semestriel",SUM(Calc_TDF!I34:I35),""))</f>
        <v/>
      </c>
      <c r="J508" s="14" t="str">
        <f>IF(HBV_Other_Population="","",IF(Effective_Other_TDF_Freq="semestriel",SUM(Calc_TDF!J34:J35),""))</f>
        <v/>
      </c>
      <c r="K508" s="14" t="str">
        <f>IF(HBV_Other_Population="","",IF(Effective_Other_TDF_Freq="semestriel",SUM(Calc_TDF!K34:K35),""))</f>
        <v/>
      </c>
      <c r="L508" s="13" t="str">
        <f t="shared" si="33"/>
        <v/>
      </c>
      <c r="M508" s="94" t="str">
        <f t="shared" si="34"/>
        <v/>
      </c>
    </row>
    <row r="509" spans="1:13" x14ac:dyDescent="0.35">
      <c r="A509" s="93" t="str">
        <f>IF(HBV_Other_Population="","",IF(Effective_Other_TDF_Freq="semestriel","S1",""))</f>
        <v/>
      </c>
      <c r="B509" s="13" t="str">
        <f>IF(HBV_Other_Population="","",IF(Effective_Other_TDF_Freq="semestriel",3,""))</f>
        <v/>
      </c>
      <c r="C509" s="14" t="str">
        <f>IF(HBV_Other_Population="","",IF(Effective_Other_TDF_Freq="semestriel",SUM(Calc_TDF!C36:C37),""))</f>
        <v/>
      </c>
      <c r="D509" s="14" t="str">
        <f>IF(HBV_Other_Population="","",IF(Effective_Other_TDF_Freq="semestriel",SUM(Calc_TDF!D36:D37),""))</f>
        <v/>
      </c>
      <c r="E509" s="93" t="str">
        <f>IF(HBV_Other_Population="","",IF(Effective_Other_TDF_Freq="semestriel",HBV_Other_Y3_Treatment_Target,""))</f>
        <v/>
      </c>
      <c r="F509" s="14" t="str">
        <f>IF(HBV_Other_Population="","",IF(Effective_Other_TDF_Freq="semestriel",SUM(Calc_TDF!F36:F37),""))</f>
        <v/>
      </c>
      <c r="G509" s="14" t="str">
        <f>IF(HBV_Other_Population="","",IF(Effective_Other_TDF_Freq="semestriel",SUM(Calc_TDF!G36:G37),""))</f>
        <v/>
      </c>
      <c r="H509" s="14" t="str">
        <f t="shared" si="32"/>
        <v/>
      </c>
      <c r="I509" s="14" t="str">
        <f>IF(HBV_Other_Population="","",IF(Effective_Other_TDF_Freq="semestriel",SUM(Calc_TDF!I36:I37),""))</f>
        <v/>
      </c>
      <c r="J509" s="14" t="str">
        <f>IF(HBV_Other_Population="","",IF(Effective_Other_TDF_Freq="semestriel",SUM(Calc_TDF!J36:J37),""))</f>
        <v/>
      </c>
      <c r="K509" s="14" t="str">
        <f>IF(HBV_Other_Population="","",IF(Effective_Other_TDF_Freq="semestriel",SUM(Calc_TDF!K36:K37),""))</f>
        <v/>
      </c>
      <c r="L509" s="13" t="str">
        <f t="shared" si="33"/>
        <v/>
      </c>
      <c r="M509" s="94" t="str">
        <f t="shared" si="34"/>
        <v/>
      </c>
    </row>
    <row r="510" spans="1:13" x14ac:dyDescent="0.35">
      <c r="A510" s="93" t="str">
        <f>IF(HBV_Other_Population="","",IF(Effective_Other_TDF_Freq="semestriel","S2",""))</f>
        <v/>
      </c>
      <c r="B510" s="13" t="str">
        <f>IF(HBV_Other_Population="","",IF(Effective_Other_TDF_Freq="semestriel",3,""))</f>
        <v/>
      </c>
      <c r="C510" s="14" t="str">
        <f>IF(HBV_Other_Population="","",IF(Effective_Other_TDF_Freq="semestriel",SUM(Calc_TDF!C38:C39),""))</f>
        <v/>
      </c>
      <c r="D510" s="14" t="str">
        <f>IF(HBV_Other_Population="","",IF(Effective_Other_TDF_Freq="semestriel",SUM(Calc_TDF!D38:D39),""))</f>
        <v/>
      </c>
      <c r="E510" s="93" t="str">
        <f>IF(HBV_Other_Population="","",IF(Effective_Other_TDF_Freq="semestriel",HBV_Other_Y3_Treatment_Target,""))</f>
        <v/>
      </c>
      <c r="F510" s="14" t="str">
        <f>IF(HBV_Other_Population="","",IF(Effective_Other_TDF_Freq="semestriel",SUM(Calc_TDF!F38:F39),""))</f>
        <v/>
      </c>
      <c r="G510" s="14" t="str">
        <f>IF(HBV_Other_Population="","",IF(Effective_Other_TDF_Freq="semestriel",SUM(Calc_TDF!G38:G39),""))</f>
        <v/>
      </c>
      <c r="H510" s="14" t="str">
        <f t="shared" si="32"/>
        <v/>
      </c>
      <c r="I510" s="14" t="str">
        <f>IF(HBV_Other_Population="","",IF(Effective_Other_TDF_Freq="semestriel",SUM(Calc_TDF!I38:I39),""))</f>
        <v/>
      </c>
      <c r="J510" s="14" t="str">
        <f>IF(HBV_Other_Population="","",IF(Effective_Other_TDF_Freq="semestriel",SUM(Calc_TDF!J38:J39),""))</f>
        <v/>
      </c>
      <c r="K510" s="14" t="str">
        <f>IF(HBV_Other_Population="","",IF(Effective_Other_TDF_Freq="semestriel",SUM(Calc_TDF!K38:K39),""))</f>
        <v/>
      </c>
      <c r="L510" s="13" t="str">
        <f t="shared" si="33"/>
        <v/>
      </c>
      <c r="M510" s="94" t="str">
        <f t="shared" si="34"/>
        <v/>
      </c>
    </row>
    <row r="511" spans="1:13" x14ac:dyDescent="0.35">
      <c r="A511" s="97"/>
      <c r="B511" s="98"/>
    </row>
    <row r="512" spans="1:13" x14ac:dyDescent="0.35">
      <c r="A512" s="24" t="str">
        <f>IF(HBV_Other_Population="","",IF(Effective_Other_TDF_Freq="semestriel","Total Année 1",""))</f>
        <v/>
      </c>
      <c r="B512" s="105"/>
      <c r="C512" s="105"/>
      <c r="D512" s="105"/>
      <c r="E512" s="105"/>
      <c r="F512" s="106"/>
      <c r="G512" s="106"/>
      <c r="H512" s="106"/>
      <c r="I512" s="107"/>
      <c r="J512" s="107"/>
      <c r="K512" s="107" t="str">
        <f>IF(HBV_Other_Population="","",IF(Effective_Other_TDF_Freq="semestriel",K505+K506,""))</f>
        <v/>
      </c>
      <c r="L512" s="107"/>
      <c r="M512" s="107" t="str">
        <f>IF(HBV_Other_Population="","",IF(Effective_Other_TDF_Freq="semestriel",M505+M506,""))</f>
        <v/>
      </c>
    </row>
    <row r="513" spans="1:13" x14ac:dyDescent="0.35">
      <c r="A513" s="24" t="str">
        <f>IF(HBV_Other_Population="","",IF(Effective_Other_TDF_Freq="semestriel","Total Année 2",""))</f>
        <v/>
      </c>
      <c r="B513" s="105"/>
      <c r="C513" s="105"/>
      <c r="D513" s="105"/>
      <c r="E513" s="105"/>
      <c r="F513" s="106"/>
      <c r="G513" s="106"/>
      <c r="H513" s="106"/>
      <c r="I513" s="107"/>
      <c r="J513" s="107"/>
      <c r="K513" s="107" t="str">
        <f>IF(HBV_Other_Population="","",IF(Effective_Other_TDF_Freq="semestriel",K507+K508,""))</f>
        <v/>
      </c>
      <c r="L513" s="107"/>
      <c r="M513" s="107" t="str">
        <f>IF(HBV_Other_Population="","",IF(Effective_Other_TDF_Freq="semestriel",M507+M508,""))</f>
        <v/>
      </c>
    </row>
    <row r="514" spans="1:13" x14ac:dyDescent="0.35">
      <c r="A514" s="24" t="str">
        <f>IF(HBV_Other_Population="","",IF(Effective_Other_TDF_Freq="semestriel","Total Année 3",""))</f>
        <v/>
      </c>
      <c r="B514" s="105"/>
      <c r="C514" s="105"/>
      <c r="D514" s="105"/>
      <c r="E514" s="105"/>
      <c r="F514" s="106"/>
      <c r="G514" s="106"/>
      <c r="H514" s="106"/>
      <c r="I514" s="107"/>
      <c r="J514" s="107"/>
      <c r="K514" s="107" t="str">
        <f>IF(HBV_Other_Population="","",IF(Effective_Other_TDF_Freq="semestriel",K509+K510,""))</f>
        <v/>
      </c>
      <c r="L514" s="107"/>
      <c r="M514" s="107" t="str">
        <f>IF(HBV_Other_Population="","",IF(Effective_Other_TDF_Freq="semestriel",M509+M510,""))</f>
        <v/>
      </c>
    </row>
    <row r="515" spans="1:13" x14ac:dyDescent="0.35">
      <c r="A515" s="9"/>
      <c r="B515" s="9"/>
      <c r="C515" s="9"/>
      <c r="D515" s="9"/>
      <c r="E515" s="9"/>
      <c r="F515" s="9"/>
      <c r="G515" s="9"/>
      <c r="H515" s="9"/>
      <c r="I515" s="9"/>
      <c r="J515" s="9"/>
      <c r="K515" s="95"/>
      <c r="L515" s="9"/>
      <c r="M515" s="95"/>
    </row>
    <row r="516" spans="1:13" s="96" customFormat="1" ht="16" x14ac:dyDescent="0.4">
      <c r="A516" s="86" t="str">
        <f>IF(HBV_Other_Population="","",IF(Effective_Other_TDF_Freq="semestriel","TOTAL SUR 3 ANS",""))</f>
        <v/>
      </c>
      <c r="B516" s="91"/>
      <c r="C516" s="91"/>
      <c r="D516" s="91"/>
      <c r="E516" s="91"/>
      <c r="F516" s="91"/>
      <c r="G516" s="91"/>
      <c r="H516" s="91"/>
      <c r="I516" s="91"/>
      <c r="J516" s="91"/>
      <c r="K516" s="87" t="str">
        <f>IF(HBV_Other_Population="","",IF(Effective_Other_TDF_Freq="semestriel",SUM(K512:K514),""))</f>
        <v/>
      </c>
      <c r="L516" s="91"/>
      <c r="M516" s="87" t="str">
        <f>IF(HBV_Other_Population="","",IF(Effective_Other_TDF_Freq="semestriel",SUM(M512:M514),""))</f>
        <v/>
      </c>
    </row>
    <row r="517" spans="1:13" x14ac:dyDescent="0.35">
      <c r="A517" s="97"/>
      <c r="B517" s="98"/>
    </row>
    <row r="518" spans="1:13" x14ac:dyDescent="0.35">
      <c r="A518" s="163" t="s">
        <v>550</v>
      </c>
    </row>
    <row r="519" spans="1:13" ht="58" x14ac:dyDescent="0.35">
      <c r="A519" s="58" t="s">
        <v>537</v>
      </c>
      <c r="B519" s="58" t="s">
        <v>538</v>
      </c>
      <c r="C519" s="57" t="s">
        <v>577</v>
      </c>
      <c r="D519" s="57" t="s">
        <v>555</v>
      </c>
      <c r="E519" s="57" t="s">
        <v>556</v>
      </c>
      <c r="F519" s="57" t="s">
        <v>580</v>
      </c>
      <c r="G519" s="57" t="s">
        <v>561</v>
      </c>
      <c r="H519" s="57" t="s">
        <v>581</v>
      </c>
      <c r="I519" s="57" t="s">
        <v>543</v>
      </c>
      <c r="J519" s="57" t="s">
        <v>544</v>
      </c>
      <c r="K519" s="57" t="s">
        <v>546</v>
      </c>
      <c r="L519" s="57" t="s">
        <v>547</v>
      </c>
      <c r="M519" s="57" t="s">
        <v>548</v>
      </c>
    </row>
    <row r="520" spans="1:13" x14ac:dyDescent="0.35">
      <c r="A520" s="93" t="str">
        <f>IF(HBV_Other_Population="","",IF(Effective_Other_TDF_Freq="trimestriel","T1",""))</f>
        <v/>
      </c>
      <c r="B520" s="13" t="str">
        <f>IF(HBV_Other_Population="","",IF(Effective_Other_TDF_Freq="trimestriel",1,""))</f>
        <v/>
      </c>
      <c r="C520" s="14" t="str">
        <f>IF(HBV_Other_Population="","",IF(Effective_Other_TDF_Freq="trimestriel",Calc_TDF!C28,""))</f>
        <v/>
      </c>
      <c r="D520" s="14" t="str">
        <f>IF(HBV_Other_Population="","",IF(Effective_Other_TDF_Freq="trimestriel",Calc_TDF!D28,""))</f>
        <v/>
      </c>
      <c r="E520" s="14" t="str">
        <f>IF(HBV_Other_Population="","",IF(Effective_Other_TDF_Freq="trimestriel",Calc_TDF!E28,""))</f>
        <v/>
      </c>
      <c r="F520" s="14" t="str">
        <f>IF(HBV_Other_Population="","",IF(Effective_Other_TDF_Freq="trimestriel",Calc_TDF!F28,""))</f>
        <v/>
      </c>
      <c r="G520" s="14" t="str">
        <f>IF(HBV_Other_Population="","",IF(Effective_Other_TDF_Freq="trimestriel",Calc_TDF!G28,""))</f>
        <v/>
      </c>
      <c r="H520" s="14" t="str">
        <f t="shared" ref="H520:H531" si="35">IF(HBV_Other_Population="","",IF(Effective_Other_TDF_Freq="trimestriel",Other_TDF_Supply_PerPerson,""))</f>
        <v/>
      </c>
      <c r="I520" s="14" t="str">
        <f>IF(HBV_Other_Population="","",IF(Effective_Other_TDF_Freq="trimestriel",Calc_TDF!I28,""))</f>
        <v/>
      </c>
      <c r="J520" s="14" t="str">
        <f>IF(HBV_Other_Population="","",IF(Effective_Other_TDF_Freq="trimestriel",Calc_TDF!J28,""))</f>
        <v/>
      </c>
      <c r="K520" s="14" t="str">
        <f>IF(HBV_Other_Population="","",IF(Effective_Other_TDF_Freq="trimestriel",Calc_TDF!K28,""))</f>
        <v/>
      </c>
      <c r="L520" s="13" t="str">
        <f t="shared" ref="L520:L531" si="36">IF(HBV_Other_Population="","",IF(Effective_Other_TDF_Freq="trimestriel",TDF_PackSize,""))</f>
        <v/>
      </c>
      <c r="M520" s="94" t="str">
        <f t="shared" ref="M520:M531" si="37">IF(HBV_Other_Population="","",IF(Effective_Other_TDF_Freq="trimestriel",IF(TDF_PackSize="","Enter pack size",CEILING((K520)/L520,1)),""))</f>
        <v/>
      </c>
    </row>
    <row r="521" spans="1:13" x14ac:dyDescent="0.35">
      <c r="A521" s="93" t="str">
        <f>IF(HBV_Other_Population="","",IF(Effective_Other_TDF_Freq="trimestriel","T2",""))</f>
        <v/>
      </c>
      <c r="B521" s="13" t="str">
        <f>IF(HBV_Other_Population="","",IF(Effective_Other_TDF_Freq="trimestriel",1,""))</f>
        <v/>
      </c>
      <c r="C521" s="14" t="str">
        <f>IF(HBV_Other_Population="","",IF(Effective_Other_TDF_Freq="trimestriel",Calc_TDF!C29,""))</f>
        <v/>
      </c>
      <c r="D521" s="14" t="str">
        <f>IF(HBV_Other_Population="","",IF(Effective_Other_TDF_Freq="trimestriel",Calc_TDF!D29,""))</f>
        <v/>
      </c>
      <c r="E521" s="14" t="str">
        <f>IF(HBV_Other_Population="","",IF(Effective_Other_TDF_Freq="trimestriel",Calc_TDF!E29,""))</f>
        <v/>
      </c>
      <c r="F521" s="14" t="str">
        <f>IF(HBV_Other_Population="","",IF(Effective_Other_TDF_Freq="trimestriel",Calc_TDF!F29,""))</f>
        <v/>
      </c>
      <c r="G521" s="14" t="str">
        <f>IF(HBV_Other_Population="","",IF(Effective_Other_TDF_Freq="trimestriel",Calc_TDF!G29,""))</f>
        <v/>
      </c>
      <c r="H521" s="14" t="str">
        <f t="shared" si="35"/>
        <v/>
      </c>
      <c r="I521" s="14" t="str">
        <f>IF(HBV_Other_Population="","",IF(Effective_Other_TDF_Freq="trimestriel",Calc_TDF!I29,""))</f>
        <v/>
      </c>
      <c r="J521" s="14" t="str">
        <f>IF(HBV_Other_Population="","",IF(Effective_Other_TDF_Freq="trimestriel",Calc_TDF!J29,""))</f>
        <v/>
      </c>
      <c r="K521" s="14" t="str">
        <f>IF(HBV_Other_Population="","",IF(Effective_Other_TDF_Freq="trimestriel",Calc_TDF!K29,""))</f>
        <v/>
      </c>
      <c r="L521" s="13" t="str">
        <f t="shared" si="36"/>
        <v/>
      </c>
      <c r="M521" s="94" t="str">
        <f t="shared" si="37"/>
        <v/>
      </c>
    </row>
    <row r="522" spans="1:13" x14ac:dyDescent="0.35">
      <c r="A522" s="93" t="str">
        <f>IF(HBV_Other_Population="","",IF(Effective_Other_TDF_Freq="trimestriel","T3",""))</f>
        <v/>
      </c>
      <c r="B522" s="13" t="str">
        <f>IF(HBV_Other_Population="","",IF(Effective_Other_TDF_Freq="trimestriel",1,""))</f>
        <v/>
      </c>
      <c r="C522" s="14" t="str">
        <f>IF(HBV_Other_Population="","",IF(Effective_Other_TDF_Freq="trimestriel",Calc_TDF!C30,""))</f>
        <v/>
      </c>
      <c r="D522" s="14" t="str">
        <f>IF(HBV_Other_Population="","",IF(Effective_Other_TDF_Freq="trimestriel",Calc_TDF!D30,""))</f>
        <v/>
      </c>
      <c r="E522" s="14" t="str">
        <f>IF(HBV_Other_Population="","",IF(Effective_Other_TDF_Freq="trimestriel",Calc_TDF!E30,""))</f>
        <v/>
      </c>
      <c r="F522" s="14" t="str">
        <f>IF(HBV_Other_Population="","",IF(Effective_Other_TDF_Freq="trimestriel",Calc_TDF!F30,""))</f>
        <v/>
      </c>
      <c r="G522" s="14" t="str">
        <f>IF(HBV_Other_Population="","",IF(Effective_Other_TDF_Freq="trimestriel",Calc_TDF!G30,""))</f>
        <v/>
      </c>
      <c r="H522" s="14" t="str">
        <f t="shared" si="35"/>
        <v/>
      </c>
      <c r="I522" s="14" t="str">
        <f>IF(HBV_Other_Population="","",IF(Effective_Other_TDF_Freq="trimestriel",Calc_TDF!I30,""))</f>
        <v/>
      </c>
      <c r="J522" s="14" t="str">
        <f>IF(HBV_Other_Population="","",IF(Effective_Other_TDF_Freq="trimestriel",Calc_TDF!J30,""))</f>
        <v/>
      </c>
      <c r="K522" s="14" t="str">
        <f>IF(HBV_Other_Population="","",IF(Effective_Other_TDF_Freq="trimestriel",Calc_TDF!K30,""))</f>
        <v/>
      </c>
      <c r="L522" s="13" t="str">
        <f t="shared" si="36"/>
        <v/>
      </c>
      <c r="M522" s="94" t="str">
        <f t="shared" si="37"/>
        <v/>
      </c>
    </row>
    <row r="523" spans="1:13" x14ac:dyDescent="0.35">
      <c r="A523" s="93" t="str">
        <f>IF(HBV_Other_Population="","",IF(Effective_Other_TDF_Freq="trimestriel","T4",""))</f>
        <v/>
      </c>
      <c r="B523" s="13" t="str">
        <f>IF(HBV_Other_Population="","",IF(Effective_Other_TDF_Freq="trimestriel",1,""))</f>
        <v/>
      </c>
      <c r="C523" s="14" t="str">
        <f>IF(HBV_Other_Population="","",IF(Effective_Other_TDF_Freq="trimestriel",Calc_TDF!C31,""))</f>
        <v/>
      </c>
      <c r="D523" s="14" t="str">
        <f>IF(HBV_Other_Population="","",IF(Effective_Other_TDF_Freq="trimestriel",Calc_TDF!D31,""))</f>
        <v/>
      </c>
      <c r="E523" s="14" t="str">
        <f>IF(HBV_Other_Population="","",IF(Effective_Other_TDF_Freq="trimestriel",Calc_TDF!E31,""))</f>
        <v/>
      </c>
      <c r="F523" s="14" t="str">
        <f>IF(HBV_Other_Population="","",IF(Effective_Other_TDF_Freq="trimestriel",Calc_TDF!F31,""))</f>
        <v/>
      </c>
      <c r="G523" s="14" t="str">
        <f>IF(HBV_Other_Population="","",IF(Effective_Other_TDF_Freq="trimestriel",Calc_TDF!G31,""))</f>
        <v/>
      </c>
      <c r="H523" s="14" t="str">
        <f t="shared" si="35"/>
        <v/>
      </c>
      <c r="I523" s="14" t="str">
        <f>IF(HBV_Other_Population="","",IF(Effective_Other_TDF_Freq="trimestriel",Calc_TDF!I31,""))</f>
        <v/>
      </c>
      <c r="J523" s="14" t="str">
        <f>IF(HBV_Other_Population="","",IF(Effective_Other_TDF_Freq="trimestriel",Calc_TDF!J31,""))</f>
        <v/>
      </c>
      <c r="K523" s="14" t="str">
        <f>IF(HBV_Other_Population="","",IF(Effective_Other_TDF_Freq="trimestriel",Calc_TDF!K31,""))</f>
        <v/>
      </c>
      <c r="L523" s="13" t="str">
        <f t="shared" si="36"/>
        <v/>
      </c>
      <c r="M523" s="94" t="str">
        <f t="shared" si="37"/>
        <v/>
      </c>
    </row>
    <row r="524" spans="1:13" x14ac:dyDescent="0.35">
      <c r="A524" s="93" t="str">
        <f>IF(HBV_Other_Population="","",IF(Effective_Other_TDF_Freq="trimestriel","T1",""))</f>
        <v/>
      </c>
      <c r="B524" s="13" t="str">
        <f>IF(HBV_Other_Population="","",IF(Effective_Other_TDF_Freq="trimestriel",2,""))</f>
        <v/>
      </c>
      <c r="C524" s="14" t="str">
        <f>IF(HBV_Other_Population="","",IF(Effective_Other_TDF_Freq="trimestriel",Calc_TDF!C32,""))</f>
        <v/>
      </c>
      <c r="D524" s="14" t="str">
        <f>IF(HBV_Other_Population="","",IF(Effective_Other_TDF_Freq="trimestriel",Calc_TDF!D32,""))</f>
        <v/>
      </c>
      <c r="E524" s="14" t="str">
        <f>IF(HBV_Other_Population="","",IF(Effective_Other_TDF_Freq="trimestriel",Calc_TDF!E32,""))</f>
        <v/>
      </c>
      <c r="F524" s="14" t="str">
        <f>IF(HBV_Other_Population="","",IF(Effective_Other_TDF_Freq="trimestriel",Calc_TDF!F32,""))</f>
        <v/>
      </c>
      <c r="G524" s="14" t="str">
        <f>IF(HBV_Other_Population="","",IF(Effective_Other_TDF_Freq="trimestriel",Calc_TDF!G32,""))</f>
        <v/>
      </c>
      <c r="H524" s="14" t="str">
        <f t="shared" si="35"/>
        <v/>
      </c>
      <c r="I524" s="14" t="str">
        <f>IF(HBV_Other_Population="","",IF(Effective_Other_TDF_Freq="trimestriel",Calc_TDF!I32,""))</f>
        <v/>
      </c>
      <c r="J524" s="14" t="str">
        <f>IF(HBV_Other_Population="","",IF(Effective_Other_TDF_Freq="trimestriel",Calc_TDF!J32,""))</f>
        <v/>
      </c>
      <c r="K524" s="14" t="str">
        <f>IF(HBV_Other_Population="","",IF(Effective_Other_TDF_Freq="trimestriel",Calc_TDF!K32,""))</f>
        <v/>
      </c>
      <c r="L524" s="13" t="str">
        <f t="shared" si="36"/>
        <v/>
      </c>
      <c r="M524" s="94" t="str">
        <f t="shared" si="37"/>
        <v/>
      </c>
    </row>
    <row r="525" spans="1:13" x14ac:dyDescent="0.35">
      <c r="A525" s="93" t="str">
        <f>IF(HBV_Other_Population="","",IF(Effective_Other_TDF_Freq="trimestriel","T2",""))</f>
        <v/>
      </c>
      <c r="B525" s="13" t="str">
        <f>IF(HBV_Other_Population="","",IF(Effective_Other_TDF_Freq="trimestriel",2,""))</f>
        <v/>
      </c>
      <c r="C525" s="14" t="str">
        <f>IF(HBV_Other_Population="","",IF(Effective_Other_TDF_Freq="trimestriel",Calc_TDF!C33,""))</f>
        <v/>
      </c>
      <c r="D525" s="14" t="str">
        <f>IF(HBV_Other_Population="","",IF(Effective_Other_TDF_Freq="trimestriel",Calc_TDF!D33,""))</f>
        <v/>
      </c>
      <c r="E525" s="14" t="str">
        <f>IF(HBV_Other_Population="","",IF(Effective_Other_TDF_Freq="trimestriel",Calc_TDF!E33,""))</f>
        <v/>
      </c>
      <c r="F525" s="14" t="str">
        <f>IF(HBV_Other_Population="","",IF(Effective_Other_TDF_Freq="trimestriel",Calc_TDF!F33,""))</f>
        <v/>
      </c>
      <c r="G525" s="14" t="str">
        <f>IF(HBV_Other_Population="","",IF(Effective_Other_TDF_Freq="trimestriel",Calc_TDF!G33,""))</f>
        <v/>
      </c>
      <c r="H525" s="14" t="str">
        <f t="shared" si="35"/>
        <v/>
      </c>
      <c r="I525" s="14" t="str">
        <f>IF(HBV_Other_Population="","",IF(Effective_Other_TDF_Freq="trimestriel",Calc_TDF!I33,""))</f>
        <v/>
      </c>
      <c r="J525" s="14" t="str">
        <f>IF(HBV_Other_Population="","",IF(Effective_Other_TDF_Freq="trimestriel",Calc_TDF!J33,""))</f>
        <v/>
      </c>
      <c r="K525" s="14" t="str">
        <f>IF(HBV_Other_Population="","",IF(Effective_Other_TDF_Freq="trimestriel",Calc_TDF!K33,""))</f>
        <v/>
      </c>
      <c r="L525" s="13" t="str">
        <f t="shared" si="36"/>
        <v/>
      </c>
      <c r="M525" s="94" t="str">
        <f t="shared" si="37"/>
        <v/>
      </c>
    </row>
    <row r="526" spans="1:13" x14ac:dyDescent="0.35">
      <c r="A526" s="93" t="str">
        <f>IF(HBV_Other_Population="","",IF(Effective_Other_TDF_Freq="trimestriel","T3",""))</f>
        <v/>
      </c>
      <c r="B526" s="13" t="str">
        <f>IF(HBV_Other_Population="","",IF(Effective_Other_TDF_Freq="trimestriel",2,""))</f>
        <v/>
      </c>
      <c r="C526" s="14" t="str">
        <f>IF(HBV_Other_Population="","",IF(Effective_Other_TDF_Freq="trimestriel",Calc_TDF!C34,""))</f>
        <v/>
      </c>
      <c r="D526" s="14" t="str">
        <f>IF(HBV_Other_Population="","",IF(Effective_Other_TDF_Freq="trimestriel",Calc_TDF!D34,""))</f>
        <v/>
      </c>
      <c r="E526" s="14" t="str">
        <f>IF(HBV_Other_Population="","",IF(Effective_Other_TDF_Freq="trimestriel",Calc_TDF!E34,""))</f>
        <v/>
      </c>
      <c r="F526" s="14" t="str">
        <f>IF(HBV_Other_Population="","",IF(Effective_Other_TDF_Freq="trimestriel",Calc_TDF!F34,""))</f>
        <v/>
      </c>
      <c r="G526" s="14" t="str">
        <f>IF(HBV_Other_Population="","",IF(Effective_Other_TDF_Freq="trimestriel",Calc_TDF!G34,""))</f>
        <v/>
      </c>
      <c r="H526" s="14" t="str">
        <f t="shared" si="35"/>
        <v/>
      </c>
      <c r="I526" s="14" t="str">
        <f>IF(HBV_Other_Population="","",IF(Effective_Other_TDF_Freq="trimestriel",Calc_TDF!I34,""))</f>
        <v/>
      </c>
      <c r="J526" s="14" t="str">
        <f>IF(HBV_Other_Population="","",IF(Effective_Other_TDF_Freq="trimestriel",Calc_TDF!J34,""))</f>
        <v/>
      </c>
      <c r="K526" s="14" t="str">
        <f>IF(HBV_Other_Population="","",IF(Effective_Other_TDF_Freq="trimestriel",Calc_TDF!K34,""))</f>
        <v/>
      </c>
      <c r="L526" s="13" t="str">
        <f t="shared" si="36"/>
        <v/>
      </c>
      <c r="M526" s="94" t="str">
        <f t="shared" si="37"/>
        <v/>
      </c>
    </row>
    <row r="527" spans="1:13" x14ac:dyDescent="0.35">
      <c r="A527" s="93" t="str">
        <f>IF(HBV_Other_Population="","",IF(Effective_Other_TDF_Freq="trimestriel","T4",""))</f>
        <v/>
      </c>
      <c r="B527" s="13" t="str">
        <f>IF(HBV_Other_Population="","",IF(Effective_Other_TDF_Freq="trimestriel",2,""))</f>
        <v/>
      </c>
      <c r="C527" s="14" t="str">
        <f>IF(HBV_Other_Population="","",IF(Effective_Other_TDF_Freq="trimestriel",Calc_TDF!C35,""))</f>
        <v/>
      </c>
      <c r="D527" s="14" t="str">
        <f>IF(HBV_Other_Population="","",IF(Effective_Other_TDF_Freq="trimestriel",Calc_TDF!D35,""))</f>
        <v/>
      </c>
      <c r="E527" s="14" t="str">
        <f>IF(HBV_Other_Population="","",IF(Effective_Other_TDF_Freq="trimestriel",Calc_TDF!E35,""))</f>
        <v/>
      </c>
      <c r="F527" s="14" t="str">
        <f>IF(HBV_Other_Population="","",IF(Effective_Other_TDF_Freq="trimestriel",Calc_TDF!F35,""))</f>
        <v/>
      </c>
      <c r="G527" s="14" t="str">
        <f>IF(HBV_Other_Population="","",IF(Effective_Other_TDF_Freq="trimestriel",Calc_TDF!G35,""))</f>
        <v/>
      </c>
      <c r="H527" s="14" t="str">
        <f t="shared" si="35"/>
        <v/>
      </c>
      <c r="I527" s="14" t="str">
        <f>IF(HBV_Other_Population="","",IF(Effective_Other_TDF_Freq="trimestriel",Calc_TDF!I35,""))</f>
        <v/>
      </c>
      <c r="J527" s="14" t="str">
        <f>IF(HBV_Other_Population="","",IF(Effective_Other_TDF_Freq="trimestriel",Calc_TDF!J35,""))</f>
        <v/>
      </c>
      <c r="K527" s="14" t="str">
        <f>IF(HBV_Other_Population="","",IF(Effective_Other_TDF_Freq="trimestriel",Calc_TDF!K35,""))</f>
        <v/>
      </c>
      <c r="L527" s="13" t="str">
        <f t="shared" si="36"/>
        <v/>
      </c>
      <c r="M527" s="94" t="str">
        <f t="shared" si="37"/>
        <v/>
      </c>
    </row>
    <row r="528" spans="1:13" x14ac:dyDescent="0.35">
      <c r="A528" s="93" t="str">
        <f>IF(HBV_Other_Population="","",IF(Effective_Other_TDF_Freq="trimestriel","T1",""))</f>
        <v/>
      </c>
      <c r="B528" s="13" t="str">
        <f>IF(HBV_Other_Population="","",IF(Effective_Other_TDF_Freq="trimestriel",3,""))</f>
        <v/>
      </c>
      <c r="C528" s="14" t="str">
        <f>IF(HBV_Other_Population="","",IF(Effective_Other_TDF_Freq="trimestriel",Calc_TDF!C36,""))</f>
        <v/>
      </c>
      <c r="D528" s="14" t="str">
        <f>IF(HBV_Other_Population="","",IF(Effective_Other_TDF_Freq="trimestriel",Calc_TDF!D36,""))</f>
        <v/>
      </c>
      <c r="E528" s="14" t="str">
        <f>IF(HBV_Other_Population="","",IF(Effective_Other_TDF_Freq="trimestriel",Calc_TDF!E36,""))</f>
        <v/>
      </c>
      <c r="F528" s="14" t="str">
        <f>IF(HBV_Other_Population="","",IF(Effective_Other_TDF_Freq="trimestriel",Calc_TDF!F36,""))</f>
        <v/>
      </c>
      <c r="G528" s="14" t="str">
        <f>IF(HBV_Other_Population="","",IF(Effective_Other_TDF_Freq="trimestriel",Calc_TDF!G36,""))</f>
        <v/>
      </c>
      <c r="H528" s="14" t="str">
        <f t="shared" si="35"/>
        <v/>
      </c>
      <c r="I528" s="14" t="str">
        <f>IF(HBV_Other_Population="","",IF(Effective_Other_TDF_Freq="trimestriel",Calc_TDF!I36,""))</f>
        <v/>
      </c>
      <c r="J528" s="14" t="str">
        <f>IF(HBV_Other_Population="","",IF(Effective_Other_TDF_Freq="trimestriel",Calc_TDF!J36,""))</f>
        <v/>
      </c>
      <c r="K528" s="14" t="str">
        <f>IF(HBV_Other_Population="","",IF(Effective_Other_TDF_Freq="trimestriel",Calc_TDF!K36,""))</f>
        <v/>
      </c>
      <c r="L528" s="13" t="str">
        <f t="shared" si="36"/>
        <v/>
      </c>
      <c r="M528" s="94" t="str">
        <f t="shared" si="37"/>
        <v/>
      </c>
    </row>
    <row r="529" spans="1:13" x14ac:dyDescent="0.35">
      <c r="A529" s="93" t="str">
        <f>IF(HBV_Other_Population="","",IF(Effective_Other_TDF_Freq="trimestriel","T2",""))</f>
        <v/>
      </c>
      <c r="B529" s="13" t="str">
        <f>IF(HBV_Other_Population="","",IF(Effective_Other_TDF_Freq="trimestriel",3,""))</f>
        <v/>
      </c>
      <c r="C529" s="14" t="str">
        <f>IF(HBV_Other_Population="","",IF(Effective_Other_TDF_Freq="trimestriel",Calc_TDF!C37,""))</f>
        <v/>
      </c>
      <c r="D529" s="14" t="str">
        <f>IF(HBV_Other_Population="","",IF(Effective_Other_TDF_Freq="trimestriel",Calc_TDF!D37,""))</f>
        <v/>
      </c>
      <c r="E529" s="14" t="str">
        <f>IF(HBV_Other_Population="","",IF(Effective_Other_TDF_Freq="trimestriel",Calc_TDF!E37,""))</f>
        <v/>
      </c>
      <c r="F529" s="14" t="str">
        <f>IF(HBV_Other_Population="","",IF(Effective_Other_TDF_Freq="trimestriel",Calc_TDF!F37,""))</f>
        <v/>
      </c>
      <c r="G529" s="14" t="str">
        <f>IF(HBV_Other_Population="","",IF(Effective_Other_TDF_Freq="trimestriel",Calc_TDF!G37,""))</f>
        <v/>
      </c>
      <c r="H529" s="14" t="str">
        <f t="shared" si="35"/>
        <v/>
      </c>
      <c r="I529" s="14" t="str">
        <f>IF(HBV_Other_Population="","",IF(Effective_Other_TDF_Freq="trimestriel",Calc_TDF!I37,""))</f>
        <v/>
      </c>
      <c r="J529" s="14" t="str">
        <f>IF(HBV_Other_Population="","",IF(Effective_Other_TDF_Freq="trimestriel",Calc_TDF!J37,""))</f>
        <v/>
      </c>
      <c r="K529" s="14" t="str">
        <f>IF(HBV_Other_Population="","",IF(Effective_Other_TDF_Freq="trimestriel",Calc_TDF!K37,""))</f>
        <v/>
      </c>
      <c r="L529" s="13" t="str">
        <f t="shared" si="36"/>
        <v/>
      </c>
      <c r="M529" s="94" t="str">
        <f t="shared" si="37"/>
        <v/>
      </c>
    </row>
    <row r="530" spans="1:13" x14ac:dyDescent="0.35">
      <c r="A530" s="93" t="str">
        <f>IF(HBV_Other_Population="","",IF(Effective_Other_TDF_Freq="trimestriel","T3",""))</f>
        <v/>
      </c>
      <c r="B530" s="13" t="str">
        <f>IF(HBV_Other_Population="","",IF(Effective_Other_TDF_Freq="trimestriel",3,""))</f>
        <v/>
      </c>
      <c r="C530" s="14" t="str">
        <f>IF(HBV_Other_Population="","",IF(Effective_Other_TDF_Freq="trimestriel",Calc_TDF!C38,""))</f>
        <v/>
      </c>
      <c r="D530" s="14" t="str">
        <f>IF(HBV_Other_Population="","",IF(Effective_Other_TDF_Freq="trimestriel",Calc_TDF!D38,""))</f>
        <v/>
      </c>
      <c r="E530" s="14" t="str">
        <f>IF(HBV_Other_Population="","",IF(Effective_Other_TDF_Freq="trimestriel",Calc_TDF!E38,""))</f>
        <v/>
      </c>
      <c r="F530" s="14" t="str">
        <f>IF(HBV_Other_Population="","",IF(Effective_Other_TDF_Freq="trimestriel",Calc_TDF!F38,""))</f>
        <v/>
      </c>
      <c r="G530" s="14" t="str">
        <f>IF(HBV_Other_Population="","",IF(Effective_Other_TDF_Freq="trimestriel",Calc_TDF!G38,""))</f>
        <v/>
      </c>
      <c r="H530" s="14" t="str">
        <f t="shared" si="35"/>
        <v/>
      </c>
      <c r="I530" s="14" t="str">
        <f>IF(HBV_Other_Population="","",IF(Effective_Other_TDF_Freq="trimestriel",Calc_TDF!I38,""))</f>
        <v/>
      </c>
      <c r="J530" s="14" t="str">
        <f>IF(HBV_Other_Population="","",IF(Effective_Other_TDF_Freq="trimestriel",Calc_TDF!J38,""))</f>
        <v/>
      </c>
      <c r="K530" s="14" t="str">
        <f>IF(HBV_Other_Population="","",IF(Effective_Other_TDF_Freq="trimestriel",Calc_TDF!K38,""))</f>
        <v/>
      </c>
      <c r="L530" s="13" t="str">
        <f t="shared" si="36"/>
        <v/>
      </c>
      <c r="M530" s="94" t="str">
        <f t="shared" si="37"/>
        <v/>
      </c>
    </row>
    <row r="531" spans="1:13" x14ac:dyDescent="0.35">
      <c r="A531" s="93" t="str">
        <f>IF(HBV_Other_Population="","",IF(Effective_Other_TDF_Freq="trimestriel","T4",""))</f>
        <v/>
      </c>
      <c r="B531" s="13" t="str">
        <f>IF(HBV_Other_Population="","",IF(Effective_Other_TDF_Freq="trimestriel",3,""))</f>
        <v/>
      </c>
      <c r="C531" s="14" t="str">
        <f>IF(HBV_Other_Population="","",IF(Effective_Other_TDF_Freq="trimestriel",Calc_TDF!C39,""))</f>
        <v/>
      </c>
      <c r="D531" s="14" t="str">
        <f>IF(HBV_Other_Population="","",IF(Effective_Other_TDF_Freq="trimestriel",Calc_TDF!D39,""))</f>
        <v/>
      </c>
      <c r="E531" s="14" t="str">
        <f>IF(HBV_Other_Population="","",IF(Effective_Other_TDF_Freq="trimestriel",Calc_TDF!E39,""))</f>
        <v/>
      </c>
      <c r="F531" s="14" t="str">
        <f>IF(HBV_Other_Population="","",IF(Effective_Other_TDF_Freq="trimestriel",Calc_TDF!F39,""))</f>
        <v/>
      </c>
      <c r="G531" s="14" t="str">
        <f>IF(HBV_Other_Population="","",IF(Effective_Other_TDF_Freq="trimestriel",Calc_TDF!G39,""))</f>
        <v/>
      </c>
      <c r="H531" s="14" t="str">
        <f t="shared" si="35"/>
        <v/>
      </c>
      <c r="I531" s="14" t="str">
        <f>IF(HBV_Other_Population="","",IF(Effective_Other_TDF_Freq="trimestriel",Calc_TDF!I39,""))</f>
        <v/>
      </c>
      <c r="J531" s="14" t="str">
        <f>IF(HBV_Other_Population="","",IF(Effective_Other_TDF_Freq="trimestriel",Calc_TDF!J39,""))</f>
        <v/>
      </c>
      <c r="K531" s="14" t="str">
        <f>IF(HBV_Other_Population="","",IF(Effective_Other_TDF_Freq="trimestriel",Calc_TDF!K39,""))</f>
        <v/>
      </c>
      <c r="L531" s="13" t="str">
        <f t="shared" si="36"/>
        <v/>
      </c>
      <c r="M531" s="94" t="str">
        <f t="shared" si="37"/>
        <v/>
      </c>
    </row>
    <row r="532" spans="1:13" x14ac:dyDescent="0.35">
      <c r="A532" s="97"/>
      <c r="B532" s="98"/>
    </row>
    <row r="533" spans="1:13" x14ac:dyDescent="0.35">
      <c r="A533" s="24" t="str">
        <f>IF(HBV_Other_Population="","",IF(Effective_Other_TDF_Freq="trimestriel","Total Année 1",""))</f>
        <v/>
      </c>
      <c r="B533" s="105"/>
      <c r="C533" s="105"/>
      <c r="D533" s="105"/>
      <c r="E533" s="105"/>
      <c r="F533" s="106"/>
      <c r="G533" s="106"/>
      <c r="H533" s="106"/>
      <c r="I533" s="107"/>
      <c r="J533" s="107"/>
      <c r="K533" s="107" t="str">
        <f>IF(HBV_Other_Population="","",IF(Effective_Other_TDF_Freq="trimestriel",SUM(K520:K523),""))</f>
        <v/>
      </c>
      <c r="L533" s="107"/>
      <c r="M533" s="107" t="str">
        <f>IF(HBV_Other_Population="","",IF(Effective_Other_TDF_Freq="trimestriel",SUM(M520:M523),""))</f>
        <v/>
      </c>
    </row>
    <row r="534" spans="1:13" x14ac:dyDescent="0.35">
      <c r="A534" s="24" t="str">
        <f>IF(HBV_Other_Population="","",IF(Effective_Other_TDF_Freq="trimestriel","Total Année 2",""))</f>
        <v/>
      </c>
      <c r="B534" s="105"/>
      <c r="C534" s="105"/>
      <c r="D534" s="105"/>
      <c r="E534" s="105"/>
      <c r="F534" s="106"/>
      <c r="G534" s="106"/>
      <c r="H534" s="106"/>
      <c r="I534" s="107"/>
      <c r="J534" s="107"/>
      <c r="K534" s="107" t="str">
        <f>IF(HBV_Other_Population="","",IF(Effective_Other_TDF_Freq="trimestriel",SUM(K524:K527),""))</f>
        <v/>
      </c>
      <c r="L534" s="107"/>
      <c r="M534" s="107" t="str">
        <f>IF(HBV_Other_Population="","",IF(Effective_Other_TDF_Freq="trimestriel",SUM(M524:M527),""))</f>
        <v/>
      </c>
    </row>
    <row r="535" spans="1:13" x14ac:dyDescent="0.35">
      <c r="A535" s="24" t="str">
        <f>IF(HBV_Other_Population="","",IF(Effective_Other_TDF_Freq="trimestriel","Total Année 3",""))</f>
        <v/>
      </c>
      <c r="B535" s="105"/>
      <c r="C535" s="105"/>
      <c r="D535" s="105"/>
      <c r="E535" s="105"/>
      <c r="F535" s="106"/>
      <c r="G535" s="106"/>
      <c r="H535" s="106"/>
      <c r="I535" s="107"/>
      <c r="J535" s="107"/>
      <c r="K535" s="107" t="str">
        <f>IF(HBV_Other_Population="","",IF(Effective_Other_TDF_Freq="trimestriel",SUM(K528:K531),""))</f>
        <v/>
      </c>
      <c r="L535" s="107"/>
      <c r="M535" s="107" t="str">
        <f>IF(HBV_Other_Population="","",IF(Effective_Other_TDF_Freq="trimestriel",SUM(M528:M531),""))</f>
        <v/>
      </c>
    </row>
    <row r="536" spans="1:13" x14ac:dyDescent="0.35">
      <c r="A536" s="9"/>
      <c r="B536" s="9"/>
      <c r="C536" s="9"/>
      <c r="D536" s="9"/>
      <c r="E536" s="9"/>
      <c r="F536" s="9"/>
      <c r="G536" s="9"/>
      <c r="H536" s="9"/>
      <c r="I536" s="9"/>
      <c r="J536" s="9"/>
      <c r="K536" s="95"/>
      <c r="L536" s="9"/>
      <c r="M536" s="95"/>
    </row>
    <row r="537" spans="1:13" s="96" customFormat="1" ht="16" x14ac:dyDescent="0.4">
      <c r="A537" s="86" t="str">
        <f>IF(Other_Population="","",IF(Effective_Other_BPG_Freq="trimestriel","TOTAL SUR 3 ANS",""))</f>
        <v/>
      </c>
      <c r="B537" s="91"/>
      <c r="C537" s="91"/>
      <c r="D537" s="91"/>
      <c r="E537" s="91"/>
      <c r="F537" s="91"/>
      <c r="G537" s="91"/>
      <c r="H537" s="91"/>
      <c r="I537" s="91"/>
      <c r="J537" s="91"/>
      <c r="K537" s="87" t="str">
        <f>IF(HBV_Other_Population="","",IF(Effective_Other_TDF_Freq="trimestriel",SUM(K533:K535),""))</f>
        <v/>
      </c>
      <c r="L537" s="91"/>
      <c r="M537" s="87" t="str">
        <f>IF(HBV_Other_Population="","",IF(Effective_Other_TDF_Freq="trimestriel",SUM(M533:M535),""))</f>
        <v/>
      </c>
    </row>
    <row r="538" spans="1:13" x14ac:dyDescent="0.35">
      <c r="A538" s="97"/>
      <c r="B538" s="98"/>
    </row>
    <row r="539" spans="1:13" x14ac:dyDescent="0.35">
      <c r="A539" s="97" t="s">
        <v>104</v>
      </c>
      <c r="B539" s="98" t="str">
        <f>IF(HBV_Other_Population="","",IF(Effective_Other_TDF_Freq="Annuel",M497,IF(Effective_Other_TDF_Freq="semestriel",M512,IF(Effective_Other_TDF_Freq="trimestriel",M533,""))))</f>
        <v/>
      </c>
    </row>
    <row r="540" spans="1:13" x14ac:dyDescent="0.35">
      <c r="A540" s="97" t="s">
        <v>105</v>
      </c>
      <c r="B540" s="98" t="str">
        <f>IF(HBV_Other_Population="","",IF(Effective_Other_TDF_Freq="Annuel",M498,IF(Effective_Other_TDF_Freq="semestriel",M513,IF(Effective_Other_TDF_Freq="trimestriel",M534,""))))</f>
        <v/>
      </c>
    </row>
    <row r="541" spans="1:13" x14ac:dyDescent="0.35">
      <c r="A541" s="97" t="s">
        <v>106</v>
      </c>
      <c r="B541" s="98" t="str">
        <f>IF(HBV_Other_Population="","",IF(Effective_Other_TDF_Freq="Annuel",M499,IF(Effective_Other_TDF_Freq="semestriel",M514,IF(Effective_Other_TDF_Freq="trimestriel",M535,""))))</f>
        <v/>
      </c>
    </row>
    <row r="542" spans="1:13" x14ac:dyDescent="0.35">
      <c r="A542" s="97" t="s">
        <v>107</v>
      </c>
      <c r="B542" s="98" t="str">
        <f>IFERROR(B539+B540+B541,"")</f>
        <v/>
      </c>
    </row>
  </sheetData>
  <sheetProtection sheet="1" formatColumns="0" formatRows="0" selectLockedCells="1" selectUnlockedCells="1"/>
  <mergeCells count="62">
    <mergeCell ref="J19:K19"/>
    <mergeCell ref="A74:L74"/>
    <mergeCell ref="A279:J279"/>
    <mergeCell ref="A176:L176"/>
    <mergeCell ref="A125:L125"/>
    <mergeCell ref="B19:C19"/>
    <mergeCell ref="A23:L23"/>
    <mergeCell ref="A21:J21"/>
    <mergeCell ref="A227:M227"/>
    <mergeCell ref="B15:C15"/>
    <mergeCell ref="F15:G15"/>
    <mergeCell ref="H15:I15"/>
    <mergeCell ref="F19:G19"/>
    <mergeCell ref="H19:I19"/>
    <mergeCell ref="D16:E16"/>
    <mergeCell ref="D17:E17"/>
    <mergeCell ref="D15:E15"/>
    <mergeCell ref="B17:C17"/>
    <mergeCell ref="F17:G17"/>
    <mergeCell ref="H17:I17"/>
    <mergeCell ref="D19:E19"/>
    <mergeCell ref="J15:K15"/>
    <mergeCell ref="D8:E8"/>
    <mergeCell ref="B6:C6"/>
    <mergeCell ref="B8:C8"/>
    <mergeCell ref="L15:M15"/>
    <mergeCell ref="F10:G10"/>
    <mergeCell ref="H10:I10"/>
    <mergeCell ref="B10:C10"/>
    <mergeCell ref="H8:I8"/>
    <mergeCell ref="J8:K8"/>
    <mergeCell ref="J10:K10"/>
    <mergeCell ref="D10:E10"/>
    <mergeCell ref="F8:G8"/>
    <mergeCell ref="L6:M6"/>
    <mergeCell ref="B7:C7"/>
    <mergeCell ref="H7:I7"/>
    <mergeCell ref="D6:E6"/>
    <mergeCell ref="D7:E7"/>
    <mergeCell ref="A1:L1"/>
    <mergeCell ref="A13:L13"/>
    <mergeCell ref="A12:J12"/>
    <mergeCell ref="J6:K6"/>
    <mergeCell ref="A4:J4"/>
    <mergeCell ref="L8:M8"/>
    <mergeCell ref="L7:M7"/>
    <mergeCell ref="F6:G6"/>
    <mergeCell ref="F7:G7"/>
    <mergeCell ref="H6:I6"/>
    <mergeCell ref="J7:K7"/>
    <mergeCell ref="J17:K17"/>
    <mergeCell ref="L17:M17"/>
    <mergeCell ref="B16:C16"/>
    <mergeCell ref="F16:G16"/>
    <mergeCell ref="H16:I16"/>
    <mergeCell ref="J16:K16"/>
    <mergeCell ref="L16:M16"/>
    <mergeCell ref="A391:M391"/>
    <mergeCell ref="A442:M442"/>
    <mergeCell ref="A493:M493"/>
    <mergeCell ref="A289:M289"/>
    <mergeCell ref="A340:M340"/>
  </mergeCells>
  <pageMargins left="0.7" right="0.7" top="0.75" bottom="0.75" header="0.3" footer="0.3"/>
  <pageSetup paperSize="9" scale="80" orientation="portrait" r:id="rId1"/>
  <rowBreaks count="1" manualBreakCount="1">
    <brk id="124"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7C537-DADC-41BF-8925-6962C025E19E}">
  <sheetPr>
    <tabColor rgb="FF002060"/>
  </sheetPr>
  <dimension ref="A1:M569"/>
  <sheetViews>
    <sheetView showGridLines="0" zoomScaleNormal="100" workbookViewId="0">
      <selection activeCell="H331" sqref="H331"/>
    </sheetView>
  </sheetViews>
  <sheetFormatPr defaultRowHeight="14.5" x14ac:dyDescent="0.35"/>
  <cols>
    <col min="1" max="1" width="21.54296875" customWidth="1"/>
    <col min="2" max="2" width="20.54296875" customWidth="1"/>
    <col min="3" max="3" width="22.1796875" customWidth="1"/>
    <col min="4" max="4" width="24.81640625" customWidth="1"/>
    <col min="5" max="5" width="25.1796875" customWidth="1"/>
    <col min="6" max="6" width="15" customWidth="1"/>
    <col min="7" max="7" width="14.7265625" bestFit="1" customWidth="1"/>
  </cols>
  <sheetData>
    <row r="1" spans="1:13" s="34" customFormat="1" ht="29.15" customHeight="1" x14ac:dyDescent="0.35">
      <c r="A1" s="402" t="s">
        <v>582</v>
      </c>
      <c r="B1" s="402"/>
      <c r="C1" s="402"/>
      <c r="D1" s="402"/>
      <c r="E1" s="402"/>
      <c r="F1" s="402"/>
      <c r="G1" s="402"/>
    </row>
    <row r="2" spans="1:13" ht="16" x14ac:dyDescent="0.35">
      <c r="A2" s="31" t="s">
        <v>584</v>
      </c>
      <c r="B2" s="32">
        <f>IF(Country_Name="Other", Manual_Country_Name, Country_Name)</f>
        <v>0</v>
      </c>
    </row>
    <row r="3" spans="1:13" x14ac:dyDescent="0.35">
      <c r="A3" s="31" t="s">
        <v>583</v>
      </c>
      <c r="B3">
        <f>Currency</f>
        <v>0</v>
      </c>
    </row>
    <row r="4" spans="1:13" x14ac:dyDescent="0.35">
      <c r="A4" s="35"/>
    </row>
    <row r="5" spans="1:13" ht="16" x14ac:dyDescent="0.4">
      <c r="A5" s="398" t="s">
        <v>585</v>
      </c>
      <c r="B5" s="398"/>
      <c r="C5" s="398"/>
      <c r="D5" s="398"/>
      <c r="E5" s="398"/>
      <c r="F5" s="398"/>
      <c r="G5" s="398"/>
      <c r="H5" s="44"/>
      <c r="I5" s="44"/>
      <c r="J5" s="44"/>
    </row>
    <row r="6" spans="1:13" ht="16" x14ac:dyDescent="0.4">
      <c r="A6" s="46"/>
      <c r="B6" s="46"/>
      <c r="C6" s="46"/>
      <c r="D6" s="46"/>
      <c r="E6" s="46"/>
      <c r="F6" s="46"/>
      <c r="G6" s="46"/>
      <c r="H6" s="46"/>
      <c r="I6" s="46"/>
      <c r="J6" s="46"/>
    </row>
    <row r="7" spans="1:13" s="25" customFormat="1" ht="32.5" customHeight="1" x14ac:dyDescent="0.4">
      <c r="A7" s="57" t="s">
        <v>14</v>
      </c>
      <c r="B7" s="221" t="s">
        <v>586</v>
      </c>
      <c r="C7" s="221" t="s">
        <v>587</v>
      </c>
      <c r="D7" s="221" t="s">
        <v>588</v>
      </c>
      <c r="E7" s="57" t="s">
        <v>589</v>
      </c>
      <c r="F7" s="57" t="s">
        <v>590</v>
      </c>
      <c r="G7" s="404"/>
      <c r="H7" s="391"/>
      <c r="I7" s="391"/>
      <c r="J7" s="391"/>
      <c r="K7" s="231"/>
    </row>
    <row r="8" spans="1:13" ht="16" x14ac:dyDescent="0.4">
      <c r="A8" s="47" t="s">
        <v>525</v>
      </c>
      <c r="B8" s="66" t="str">
        <f>IFERROR(SUM(Calc_Budget!F36:F38),"")</f>
        <v/>
      </c>
      <c r="C8" s="229" t="str">
        <f>IFERROR(SUM(Calc_Budget!F43:F45),"")</f>
        <v/>
      </c>
      <c r="D8" s="66" t="str">
        <f>IFERROR(SUM(Calc_Budget!F50:F52),"")</f>
        <v/>
      </c>
      <c r="E8" s="67" t="str">
        <f>IFERROR(SUM(Calc_Budget!F57:F59),"")</f>
        <v/>
      </c>
      <c r="F8" s="230" t="str">
        <f>IFERROR(SUM(Calc_Budget!F64:F66),"")</f>
        <v/>
      </c>
      <c r="G8" s="403"/>
      <c r="H8" s="382"/>
      <c r="I8" s="382"/>
      <c r="J8" s="382"/>
      <c r="K8" s="46"/>
    </row>
    <row r="9" spans="1:13" ht="16" x14ac:dyDescent="0.4">
      <c r="A9" s="47" t="s">
        <v>207</v>
      </c>
      <c r="B9" s="67">
        <f>IF(Other_Population="",0,SUM(Calc_Budget!F39:F41))</f>
        <v>0</v>
      </c>
      <c r="C9" s="230">
        <f>IF(HBV_Other_Population="",0,SUM(Calc_Budget!F46:F48))</f>
        <v>0</v>
      </c>
      <c r="D9" s="67">
        <f>IF(Other_Population="",0,SUM(Calc_Budget!F53:F55))</f>
        <v>0</v>
      </c>
      <c r="E9" s="67">
        <f>IF(Other_Population="",0,SUM(Calc_Budget!F60:F62))</f>
        <v>0</v>
      </c>
      <c r="F9" s="230">
        <f>IF(HBV_Other_Population="",0,SUM(Calc_Budget!F67:F69))</f>
        <v>0</v>
      </c>
      <c r="G9" s="403"/>
      <c r="H9" s="382"/>
      <c r="I9" s="382"/>
      <c r="J9" s="382"/>
      <c r="K9" s="46"/>
    </row>
    <row r="10" spans="1:13" ht="16" x14ac:dyDescent="0.4">
      <c r="A10" s="46"/>
      <c r="B10" s="46"/>
      <c r="C10" s="46"/>
      <c r="D10" s="46"/>
      <c r="E10" s="46"/>
      <c r="F10" s="46"/>
      <c r="G10" s="46"/>
      <c r="H10" s="46"/>
      <c r="I10" s="46"/>
      <c r="J10" s="46"/>
      <c r="K10" s="46"/>
      <c r="L10" s="46"/>
      <c r="M10" s="46"/>
    </row>
    <row r="11" spans="1:13" ht="16" x14ac:dyDescent="0.4">
      <c r="A11" s="128" t="str">
        <f>"Sous-total sur 3 ans ("&amp;Currency&amp;")"</f>
        <v>Sous-total sur 3 ans ()</v>
      </c>
      <c r="B11" s="129" t="str">
        <f>IFERROR(B8+B9,"")</f>
        <v/>
      </c>
      <c r="C11" s="129" t="str">
        <f>IFERROR(C8+C9,"")</f>
        <v/>
      </c>
      <c r="D11" s="129" t="str">
        <f>IFERROR(D8+D9,"")</f>
        <v/>
      </c>
      <c r="E11" s="129" t="str">
        <f>IFERROR(E8+E9,"")</f>
        <v/>
      </c>
      <c r="F11" s="129" t="str">
        <f>IFERROR(F8+F9,"")</f>
        <v/>
      </c>
      <c r="G11" s="46"/>
      <c r="H11" s="46"/>
      <c r="I11" s="46"/>
      <c r="J11" s="46"/>
      <c r="K11" s="46"/>
      <c r="L11" s="46"/>
      <c r="M11" s="46"/>
    </row>
    <row r="12" spans="1:13" ht="16" x14ac:dyDescent="0.4">
      <c r="A12" s="46"/>
      <c r="B12" s="46"/>
      <c r="C12" s="46"/>
      <c r="D12" s="46"/>
      <c r="E12" s="46"/>
      <c r="F12" s="46"/>
      <c r="G12" s="46"/>
      <c r="H12" s="46"/>
      <c r="I12" s="46"/>
      <c r="J12" s="46"/>
      <c r="K12" s="46"/>
    </row>
    <row r="13" spans="1:13" ht="16" x14ac:dyDescent="0.4">
      <c r="A13" s="20" t="str">
        <f>"TOTAL GÉNÉRAL ("&amp;Currency&amp;")"</f>
        <v>TOTAL GÉNÉRAL ()</v>
      </c>
      <c r="B13" s="20"/>
      <c r="C13" s="396" t="str">
        <f>IFERROR(B11+C11+D11+E11+F11,"")</f>
        <v/>
      </c>
      <c r="D13" s="397"/>
      <c r="E13" s="397"/>
      <c r="F13" s="397"/>
      <c r="G13" s="46"/>
      <c r="H13" s="46"/>
      <c r="I13" s="46"/>
    </row>
    <row r="14" spans="1:13" ht="16" x14ac:dyDescent="0.4">
      <c r="A14" s="79"/>
      <c r="B14" s="79"/>
      <c r="C14" s="130"/>
      <c r="D14" s="130"/>
      <c r="E14" s="46"/>
      <c r="F14" s="46"/>
      <c r="G14" s="46"/>
      <c r="H14" s="46"/>
      <c r="I14" s="46"/>
    </row>
    <row r="15" spans="1:13" ht="16" x14ac:dyDescent="0.4">
      <c r="A15" s="398" t="s">
        <v>593</v>
      </c>
      <c r="B15" s="398"/>
      <c r="C15" s="398"/>
      <c r="D15" s="398"/>
      <c r="E15" s="398"/>
      <c r="F15" s="398"/>
      <c r="G15" s="398"/>
      <c r="H15" s="44"/>
      <c r="I15" s="44"/>
      <c r="J15" s="44"/>
    </row>
    <row r="16" spans="1:13" ht="16" x14ac:dyDescent="0.4">
      <c r="A16" s="44"/>
      <c r="B16" s="44"/>
      <c r="C16" s="44"/>
      <c r="D16" s="44"/>
      <c r="E16" s="44"/>
      <c r="F16" s="44"/>
      <c r="G16" s="44"/>
      <c r="H16" s="44"/>
      <c r="I16" s="44"/>
      <c r="J16" s="44"/>
    </row>
    <row r="17" spans="1:10" ht="29.15" customHeight="1" x14ac:dyDescent="0.4">
      <c r="A17" s="58" t="s">
        <v>452</v>
      </c>
      <c r="B17" s="221" t="str">
        <f>"Coût unitaire ("&amp;Currency&amp;")"</f>
        <v>Coût unitaire ()</v>
      </c>
      <c r="C17" s="221" t="str">
        <f>"Coût unitaire dédouané ("&amp;Currency&amp;")"</f>
        <v>Coût unitaire dédouané ()</v>
      </c>
      <c r="D17" s="57" t="s">
        <v>547</v>
      </c>
      <c r="E17" s="221" t="str">
        <f>"Coût au débarquement par boîte ("&amp;Currency&amp;")"</f>
        <v>Coût au débarquement par boîte ()</v>
      </c>
      <c r="F17" s="44"/>
      <c r="G17" s="44"/>
      <c r="H17" s="44"/>
      <c r="I17" s="44"/>
      <c r="J17" s="44"/>
    </row>
    <row r="18" spans="1:10" ht="16" x14ac:dyDescent="0.4">
      <c r="A18" s="93" t="s">
        <v>454</v>
      </c>
      <c r="B18" s="93">
        <f>DualTest_UnitCost</f>
        <v>0</v>
      </c>
      <c r="C18" s="132">
        <f>DualTest_LandedCost</f>
        <v>0</v>
      </c>
      <c r="D18" s="93">
        <f>DualTest_PackSize</f>
        <v>0</v>
      </c>
      <c r="E18" s="93">
        <f>DualTest_LandedCostPerPack</f>
        <v>0</v>
      </c>
      <c r="F18" s="46"/>
      <c r="G18" s="46"/>
      <c r="H18" s="46"/>
      <c r="I18" s="46"/>
    </row>
    <row r="19" spans="1:10" ht="16" x14ac:dyDescent="0.4">
      <c r="A19" s="93" t="s">
        <v>591</v>
      </c>
      <c r="B19" s="131">
        <f>HBsAg_UnitCost</f>
        <v>0</v>
      </c>
      <c r="C19" s="132">
        <f>HBsAg_LandedCost</f>
        <v>0</v>
      </c>
      <c r="D19" s="93">
        <f>HBsAg_PackSize</f>
        <v>0</v>
      </c>
      <c r="E19" s="131">
        <f>HBsAg_LandedCostPerPack</f>
        <v>0</v>
      </c>
      <c r="F19" s="46"/>
      <c r="G19" s="46"/>
      <c r="H19" s="46"/>
      <c r="I19" s="46"/>
    </row>
    <row r="20" spans="1:10" ht="16" x14ac:dyDescent="0.4">
      <c r="A20" s="93" t="s">
        <v>80</v>
      </c>
      <c r="B20" s="131">
        <f>TripleTest_UnitCost</f>
        <v>0</v>
      </c>
      <c r="C20" s="132">
        <f>TripleTest_LandedCost</f>
        <v>0</v>
      </c>
      <c r="D20" s="93">
        <f>TripleTest_PackSize</f>
        <v>0</v>
      </c>
      <c r="E20" s="93">
        <f>TripleTest_LandedCostPerPack</f>
        <v>0</v>
      </c>
      <c r="F20" s="46"/>
      <c r="G20" s="46"/>
      <c r="H20" s="46"/>
      <c r="I20" s="46"/>
    </row>
    <row r="21" spans="1:10" x14ac:dyDescent="0.35">
      <c r="A21" s="93" t="s">
        <v>42</v>
      </c>
      <c r="B21" s="131">
        <f>BPG_UnitCost</f>
        <v>0</v>
      </c>
      <c r="C21" s="131">
        <f>BPG_LandedCost</f>
        <v>0</v>
      </c>
      <c r="D21" s="93">
        <f>BPG_PackSize</f>
        <v>0</v>
      </c>
      <c r="E21" s="93">
        <f>BPG_LandedCostPerPack</f>
        <v>0</v>
      </c>
    </row>
    <row r="22" spans="1:10" x14ac:dyDescent="0.35">
      <c r="A22" s="93" t="s">
        <v>95</v>
      </c>
      <c r="B22" s="131">
        <f>TDF_UnitCost</f>
        <v>0</v>
      </c>
      <c r="C22" s="131">
        <f>TDF_LandedCost</f>
        <v>0</v>
      </c>
      <c r="D22" s="93">
        <f>TDF_PackSize</f>
        <v>0</v>
      </c>
      <c r="E22" s="131">
        <f>TDF_LandedCostPerPack</f>
        <v>0</v>
      </c>
    </row>
    <row r="24" spans="1:10" ht="16" x14ac:dyDescent="0.4">
      <c r="A24" s="398" t="s">
        <v>594</v>
      </c>
      <c r="B24" s="398"/>
      <c r="C24" s="398"/>
      <c r="D24" s="398"/>
      <c r="E24" s="398"/>
      <c r="F24" s="398"/>
      <c r="G24" s="398"/>
    </row>
    <row r="26" spans="1:10" s="25" customFormat="1" ht="29" x14ac:dyDescent="0.35">
      <c r="A26" s="58" t="s">
        <v>452</v>
      </c>
      <c r="B26" s="58" t="s">
        <v>14</v>
      </c>
      <c r="C26" s="58" t="s">
        <v>538</v>
      </c>
      <c r="D26" s="58" t="s">
        <v>592</v>
      </c>
      <c r="E26" s="57" t="str">
        <f>"Coût au débarquement par boîte ("&amp;Currency&amp;")"</f>
        <v>Coût au débarquement par boîte ()</v>
      </c>
      <c r="F26" s="57" t="str">
        <f>"Coût total ("&amp;Currency&amp;")"</f>
        <v>Coût total ()</v>
      </c>
    </row>
    <row r="27" spans="1:10" x14ac:dyDescent="0.35">
      <c r="A27" s="13" t="s">
        <v>454</v>
      </c>
      <c r="B27" s="13" t="s">
        <v>525</v>
      </c>
      <c r="C27" s="13">
        <v>1</v>
      </c>
      <c r="D27" s="14" t="str">
        <f>Y1_DualTest_Packs</f>
        <v/>
      </c>
      <c r="E27" s="68">
        <f t="shared" ref="E27:E32" si="0">DualTest_LandedCostPerPack</f>
        <v>0</v>
      </c>
      <c r="F27" s="69" t="str">
        <f>IFERROR(D27*E27,"")</f>
        <v/>
      </c>
    </row>
    <row r="28" spans="1:10" x14ac:dyDescent="0.35">
      <c r="A28" s="13" t="s">
        <v>454</v>
      </c>
      <c r="B28" s="13" t="s">
        <v>525</v>
      </c>
      <c r="C28" s="13">
        <v>2</v>
      </c>
      <c r="D28" s="14" t="str">
        <f>Y2_DualTest_Packs</f>
        <v/>
      </c>
      <c r="E28" s="68">
        <f t="shared" si="0"/>
        <v>0</v>
      </c>
      <c r="F28" s="69" t="str">
        <f>IFERROR(D28*E28,"")</f>
        <v/>
      </c>
    </row>
    <row r="29" spans="1:10" x14ac:dyDescent="0.35">
      <c r="A29" s="13" t="s">
        <v>454</v>
      </c>
      <c r="B29" s="13" t="s">
        <v>525</v>
      </c>
      <c r="C29" s="13">
        <v>3</v>
      </c>
      <c r="D29" s="14" t="str">
        <f>Y3_DualTest_Packs</f>
        <v/>
      </c>
      <c r="E29" s="68">
        <f t="shared" si="0"/>
        <v>0</v>
      </c>
      <c r="F29" s="69" t="str">
        <f t="shared" ref="F29:F56" si="1">IFERROR(D29*E29,"")</f>
        <v/>
      </c>
    </row>
    <row r="30" spans="1:10" x14ac:dyDescent="0.35">
      <c r="A30" s="13" t="s">
        <v>454</v>
      </c>
      <c r="B30" s="13" t="s">
        <v>207</v>
      </c>
      <c r="C30" s="13">
        <v>1</v>
      </c>
      <c r="D30" s="14">
        <f>IF(Other_Population="",0,Y1_Other_DualTest_Packs)</f>
        <v>0</v>
      </c>
      <c r="E30" s="68">
        <f t="shared" si="0"/>
        <v>0</v>
      </c>
      <c r="F30" s="69">
        <f t="shared" si="1"/>
        <v>0</v>
      </c>
    </row>
    <row r="31" spans="1:10" x14ac:dyDescent="0.35">
      <c r="A31" s="13" t="s">
        <v>454</v>
      </c>
      <c r="B31" s="13" t="s">
        <v>207</v>
      </c>
      <c r="C31" s="13">
        <v>2</v>
      </c>
      <c r="D31" s="14">
        <f>IF(Other_Population="",0,Y2_Other_DualTest_Packs)</f>
        <v>0</v>
      </c>
      <c r="E31" s="68">
        <f t="shared" si="0"/>
        <v>0</v>
      </c>
      <c r="F31" s="69">
        <f t="shared" si="1"/>
        <v>0</v>
      </c>
    </row>
    <row r="32" spans="1:10" x14ac:dyDescent="0.35">
      <c r="A32" s="13" t="s">
        <v>454</v>
      </c>
      <c r="B32" s="13" t="s">
        <v>207</v>
      </c>
      <c r="C32" s="13">
        <v>3</v>
      </c>
      <c r="D32" s="14">
        <f>IF(Other_Population="",0,Y3_Other_DualTest_Packs)</f>
        <v>0</v>
      </c>
      <c r="E32" s="68">
        <f t="shared" si="0"/>
        <v>0</v>
      </c>
      <c r="F32" s="69">
        <f t="shared" si="1"/>
        <v>0</v>
      </c>
    </row>
    <row r="33" spans="1:6" x14ac:dyDescent="0.35">
      <c r="A33" s="93" t="s">
        <v>591</v>
      </c>
      <c r="B33" s="93" t="s">
        <v>525</v>
      </c>
      <c r="C33" s="93">
        <v>1</v>
      </c>
      <c r="D33" s="14" t="str">
        <f>Y1_HBsAg_Packs</f>
        <v/>
      </c>
      <c r="E33" s="131">
        <f t="shared" ref="E33:E38" si="2">HBsAg_LandedCostPerPack</f>
        <v>0</v>
      </c>
      <c r="F33" s="69" t="str">
        <f t="shared" si="1"/>
        <v/>
      </c>
    </row>
    <row r="34" spans="1:6" x14ac:dyDescent="0.35">
      <c r="A34" s="93" t="s">
        <v>591</v>
      </c>
      <c r="B34" s="93" t="s">
        <v>525</v>
      </c>
      <c r="C34" s="93">
        <v>2</v>
      </c>
      <c r="D34" s="14" t="str">
        <f>Y2_HBsAg_Packs</f>
        <v/>
      </c>
      <c r="E34" s="131">
        <f t="shared" si="2"/>
        <v>0</v>
      </c>
      <c r="F34" s="69" t="str">
        <f t="shared" si="1"/>
        <v/>
      </c>
    </row>
    <row r="35" spans="1:6" x14ac:dyDescent="0.35">
      <c r="A35" s="93" t="s">
        <v>591</v>
      </c>
      <c r="B35" s="93" t="s">
        <v>525</v>
      </c>
      <c r="C35" s="93">
        <v>3</v>
      </c>
      <c r="D35" s="14" t="str">
        <f>Y3_HBsAg_Packs</f>
        <v/>
      </c>
      <c r="E35" s="131">
        <f t="shared" si="2"/>
        <v>0</v>
      </c>
      <c r="F35" s="69" t="str">
        <f t="shared" si="1"/>
        <v/>
      </c>
    </row>
    <row r="36" spans="1:6" x14ac:dyDescent="0.35">
      <c r="A36" s="93" t="s">
        <v>591</v>
      </c>
      <c r="B36" s="93" t="s">
        <v>207</v>
      </c>
      <c r="C36" s="93">
        <v>1</v>
      </c>
      <c r="D36" s="14">
        <f>IF(HBV_Other_Population="",0,Y1_Other_HBsAg_Packs)</f>
        <v>0</v>
      </c>
      <c r="E36" s="131">
        <f t="shared" si="2"/>
        <v>0</v>
      </c>
      <c r="F36" s="69">
        <f t="shared" si="1"/>
        <v>0</v>
      </c>
    </row>
    <row r="37" spans="1:6" x14ac:dyDescent="0.35">
      <c r="A37" s="93" t="s">
        <v>591</v>
      </c>
      <c r="B37" s="93" t="s">
        <v>207</v>
      </c>
      <c r="C37" s="93">
        <v>2</v>
      </c>
      <c r="D37" s="14">
        <f>IF(HBV_Other_Population="",0,Y2_Other_HBsAg_Packs)</f>
        <v>0</v>
      </c>
      <c r="E37" s="131">
        <f t="shared" si="2"/>
        <v>0</v>
      </c>
      <c r="F37" s="69">
        <f t="shared" si="1"/>
        <v>0</v>
      </c>
    </row>
    <row r="38" spans="1:6" x14ac:dyDescent="0.35">
      <c r="A38" s="93" t="s">
        <v>591</v>
      </c>
      <c r="B38" s="93" t="s">
        <v>207</v>
      </c>
      <c r="C38" s="93">
        <v>3</v>
      </c>
      <c r="D38" s="14">
        <f>IF(HBV_Other_Population="",0,Y3_Other_HBsAg_Packs)</f>
        <v>0</v>
      </c>
      <c r="E38" s="131">
        <f t="shared" si="2"/>
        <v>0</v>
      </c>
      <c r="F38" s="69">
        <f t="shared" si="1"/>
        <v>0</v>
      </c>
    </row>
    <row r="39" spans="1:6" x14ac:dyDescent="0.35">
      <c r="A39" s="13" t="s">
        <v>80</v>
      </c>
      <c r="B39" s="13" t="s">
        <v>525</v>
      </c>
      <c r="C39" s="13">
        <v>1</v>
      </c>
      <c r="D39" s="14" t="str">
        <f>Y1_TripleTest_Packs</f>
        <v/>
      </c>
      <c r="E39" s="68">
        <f t="shared" ref="E39:E44" si="3">TripleTest_LandedCostPerPack</f>
        <v>0</v>
      </c>
      <c r="F39" s="69" t="str">
        <f t="shared" si="1"/>
        <v/>
      </c>
    </row>
    <row r="40" spans="1:6" x14ac:dyDescent="0.35">
      <c r="A40" s="13" t="s">
        <v>80</v>
      </c>
      <c r="B40" s="13" t="s">
        <v>525</v>
      </c>
      <c r="C40" s="13">
        <v>2</v>
      </c>
      <c r="D40" s="14" t="str">
        <f>Y2_TripleTest_Packs</f>
        <v/>
      </c>
      <c r="E40" s="68">
        <f t="shared" si="3"/>
        <v>0</v>
      </c>
      <c r="F40" s="69" t="str">
        <f t="shared" si="1"/>
        <v/>
      </c>
    </row>
    <row r="41" spans="1:6" x14ac:dyDescent="0.35">
      <c r="A41" s="13" t="s">
        <v>80</v>
      </c>
      <c r="B41" s="13" t="s">
        <v>525</v>
      </c>
      <c r="C41" s="13">
        <v>3</v>
      </c>
      <c r="D41" s="14" t="str">
        <f>Y3_TripleTest_Packs</f>
        <v/>
      </c>
      <c r="E41" s="68">
        <f t="shared" si="3"/>
        <v>0</v>
      </c>
      <c r="F41" s="69" t="str">
        <f t="shared" si="1"/>
        <v/>
      </c>
    </row>
    <row r="42" spans="1:6" x14ac:dyDescent="0.35">
      <c r="A42" s="13" t="s">
        <v>80</v>
      </c>
      <c r="B42" s="13" t="s">
        <v>207</v>
      </c>
      <c r="C42" s="13">
        <v>1</v>
      </c>
      <c r="D42" s="14">
        <f>IF(Other_Population="",0,Y1_Other_TripleTest_Packs)</f>
        <v>0</v>
      </c>
      <c r="E42" s="68">
        <f t="shared" si="3"/>
        <v>0</v>
      </c>
      <c r="F42" s="69">
        <f t="shared" si="1"/>
        <v>0</v>
      </c>
    </row>
    <row r="43" spans="1:6" x14ac:dyDescent="0.35">
      <c r="A43" s="13" t="s">
        <v>80</v>
      </c>
      <c r="B43" s="13" t="s">
        <v>207</v>
      </c>
      <c r="C43" s="13">
        <v>2</v>
      </c>
      <c r="D43" s="14">
        <f>IF(Other_Population="",0,Y2_Other_TripleTest_Packs)</f>
        <v>0</v>
      </c>
      <c r="E43" s="68">
        <f t="shared" si="3"/>
        <v>0</v>
      </c>
      <c r="F43" s="69">
        <f t="shared" si="1"/>
        <v>0</v>
      </c>
    </row>
    <row r="44" spans="1:6" x14ac:dyDescent="0.35">
      <c r="A44" s="13" t="s">
        <v>80</v>
      </c>
      <c r="B44" s="13" t="s">
        <v>207</v>
      </c>
      <c r="C44" s="13">
        <v>3</v>
      </c>
      <c r="D44" s="14">
        <f>IF(Other_Population="",0,Y3_Other_TripleTest_Packs)</f>
        <v>0</v>
      </c>
      <c r="E44" s="68">
        <f t="shared" si="3"/>
        <v>0</v>
      </c>
      <c r="F44" s="69">
        <f t="shared" si="1"/>
        <v>0</v>
      </c>
    </row>
    <row r="45" spans="1:6" x14ac:dyDescent="0.35">
      <c r="A45" s="13" t="s">
        <v>42</v>
      </c>
      <c r="B45" s="13" t="s">
        <v>525</v>
      </c>
      <c r="C45" s="13">
        <v>1</v>
      </c>
      <c r="D45" s="14" t="str">
        <f>Y1_BPG_Packs</f>
        <v/>
      </c>
      <c r="E45" s="68">
        <f t="shared" ref="E45:E50" si="4">BPG_LandedCostPerPack</f>
        <v>0</v>
      </c>
      <c r="F45" s="69" t="str">
        <f t="shared" si="1"/>
        <v/>
      </c>
    </row>
    <row r="46" spans="1:6" x14ac:dyDescent="0.35">
      <c r="A46" s="13" t="s">
        <v>42</v>
      </c>
      <c r="B46" s="13" t="s">
        <v>525</v>
      </c>
      <c r="C46" s="13">
        <v>2</v>
      </c>
      <c r="D46" s="14" t="str">
        <f>Y2_BPG_Packs</f>
        <v/>
      </c>
      <c r="E46" s="68">
        <f t="shared" si="4"/>
        <v>0</v>
      </c>
      <c r="F46" s="69" t="str">
        <f t="shared" si="1"/>
        <v/>
      </c>
    </row>
    <row r="47" spans="1:6" x14ac:dyDescent="0.35">
      <c r="A47" s="13" t="s">
        <v>42</v>
      </c>
      <c r="B47" s="13" t="s">
        <v>525</v>
      </c>
      <c r="C47" s="13">
        <v>3</v>
      </c>
      <c r="D47" s="14" t="str">
        <f>Y3_BPG_Packs</f>
        <v/>
      </c>
      <c r="E47" s="68">
        <f t="shared" si="4"/>
        <v>0</v>
      </c>
      <c r="F47" s="69" t="str">
        <f t="shared" si="1"/>
        <v/>
      </c>
    </row>
    <row r="48" spans="1:6" x14ac:dyDescent="0.35">
      <c r="A48" s="13" t="s">
        <v>42</v>
      </c>
      <c r="B48" s="13" t="s">
        <v>207</v>
      </c>
      <c r="C48" s="13">
        <v>1</v>
      </c>
      <c r="D48" s="14">
        <f>IF(Other_Population="",0,Y1_Other_BPG_Packs)</f>
        <v>0</v>
      </c>
      <c r="E48" s="68">
        <f t="shared" si="4"/>
        <v>0</v>
      </c>
      <c r="F48" s="69">
        <f t="shared" si="1"/>
        <v>0</v>
      </c>
    </row>
    <row r="49" spans="1:6" x14ac:dyDescent="0.35">
      <c r="A49" s="13" t="s">
        <v>42</v>
      </c>
      <c r="B49" s="13" t="s">
        <v>207</v>
      </c>
      <c r="C49" s="13">
        <v>2</v>
      </c>
      <c r="D49" s="14">
        <f>IF(Other_Population="",0,Y2_Other_BPG_Packs)</f>
        <v>0</v>
      </c>
      <c r="E49" s="68">
        <f t="shared" si="4"/>
        <v>0</v>
      </c>
      <c r="F49" s="69">
        <f t="shared" si="1"/>
        <v>0</v>
      </c>
    </row>
    <row r="50" spans="1:6" x14ac:dyDescent="0.35">
      <c r="A50" s="13" t="s">
        <v>42</v>
      </c>
      <c r="B50" s="13" t="s">
        <v>207</v>
      </c>
      <c r="C50" s="13">
        <v>3</v>
      </c>
      <c r="D50" s="14">
        <f>IF(Other_Population="",0,Y3_Other_BPG_Packs)</f>
        <v>0</v>
      </c>
      <c r="E50" s="68">
        <f t="shared" si="4"/>
        <v>0</v>
      </c>
      <c r="F50" s="69">
        <f t="shared" si="1"/>
        <v>0</v>
      </c>
    </row>
    <row r="51" spans="1:6" x14ac:dyDescent="0.35">
      <c r="A51" s="93" t="s">
        <v>95</v>
      </c>
      <c r="B51" s="93" t="s">
        <v>525</v>
      </c>
      <c r="C51" s="93">
        <v>1</v>
      </c>
      <c r="D51" s="14" t="str">
        <f>Y1_TDF_Packs</f>
        <v/>
      </c>
      <c r="E51" s="68">
        <f t="shared" ref="E51:E56" si="5">TDF_LandedCostPerPack</f>
        <v>0</v>
      </c>
      <c r="F51" s="69" t="str">
        <f t="shared" si="1"/>
        <v/>
      </c>
    </row>
    <row r="52" spans="1:6" x14ac:dyDescent="0.35">
      <c r="A52" s="93" t="s">
        <v>95</v>
      </c>
      <c r="B52" s="93" t="s">
        <v>525</v>
      </c>
      <c r="C52" s="93">
        <v>2</v>
      </c>
      <c r="D52" s="14" t="str">
        <f>Y2_TDF_Packs</f>
        <v/>
      </c>
      <c r="E52" s="68">
        <f t="shared" si="5"/>
        <v>0</v>
      </c>
      <c r="F52" s="69" t="str">
        <f t="shared" si="1"/>
        <v/>
      </c>
    </row>
    <row r="53" spans="1:6" x14ac:dyDescent="0.35">
      <c r="A53" s="93" t="s">
        <v>95</v>
      </c>
      <c r="B53" s="93" t="s">
        <v>525</v>
      </c>
      <c r="C53" s="93">
        <v>3</v>
      </c>
      <c r="D53" s="14" t="str">
        <f>Y3_TDF_Packs</f>
        <v/>
      </c>
      <c r="E53" s="68">
        <f t="shared" si="5"/>
        <v>0</v>
      </c>
      <c r="F53" s="69" t="str">
        <f t="shared" si="1"/>
        <v/>
      </c>
    </row>
    <row r="54" spans="1:6" x14ac:dyDescent="0.35">
      <c r="A54" s="93" t="s">
        <v>95</v>
      </c>
      <c r="B54" s="93" t="s">
        <v>207</v>
      </c>
      <c r="C54" s="93">
        <v>1</v>
      </c>
      <c r="D54" s="14">
        <f>IF(HBV_Other_Population="",0,Y1_Other_TDF_Packs)</f>
        <v>0</v>
      </c>
      <c r="E54" s="68">
        <f t="shared" si="5"/>
        <v>0</v>
      </c>
      <c r="F54" s="69">
        <f t="shared" si="1"/>
        <v>0</v>
      </c>
    </row>
    <row r="55" spans="1:6" x14ac:dyDescent="0.35">
      <c r="A55" s="93" t="s">
        <v>95</v>
      </c>
      <c r="B55" s="93" t="s">
        <v>207</v>
      </c>
      <c r="C55" s="93">
        <v>2</v>
      </c>
      <c r="D55" s="14">
        <f>IF(HBV_Other_Population="",0,Y2_Other_TDF_Packs)</f>
        <v>0</v>
      </c>
      <c r="E55" s="68">
        <f t="shared" si="5"/>
        <v>0</v>
      </c>
      <c r="F55" s="69">
        <f t="shared" si="1"/>
        <v>0</v>
      </c>
    </row>
    <row r="56" spans="1:6" x14ac:dyDescent="0.35">
      <c r="A56" s="93" t="s">
        <v>95</v>
      </c>
      <c r="B56" s="93" t="s">
        <v>207</v>
      </c>
      <c r="C56" s="93">
        <v>3</v>
      </c>
      <c r="D56" s="14">
        <f>IF(HBV_Other_Population="",0,Y3_Other_TDF_Packs)</f>
        <v>0</v>
      </c>
      <c r="E56" s="68">
        <f t="shared" si="5"/>
        <v>0</v>
      </c>
      <c r="F56" s="69">
        <f t="shared" si="1"/>
        <v>0</v>
      </c>
    </row>
    <row r="57" spans="1:6" x14ac:dyDescent="0.35">
      <c r="D57" s="48"/>
      <c r="E57" s="49"/>
      <c r="F57" s="50"/>
    </row>
    <row r="58" spans="1:6" x14ac:dyDescent="0.35">
      <c r="A58" s="138" t="str">
        <f>"Sous-total des tests doubles ("&amp;Currency&amp;")"</f>
        <v>Sous-total des tests doubles ()</v>
      </c>
      <c r="B58" s="133"/>
      <c r="C58" s="133"/>
      <c r="D58" s="133"/>
      <c r="E58" s="139"/>
      <c r="F58" s="134">
        <f>SUM(F27:F32)</f>
        <v>0</v>
      </c>
    </row>
    <row r="59" spans="1:6" x14ac:dyDescent="0.35">
      <c r="A59" s="138" t="str">
        <f>"Sous-total des tests HBsAg ("&amp;Currency&amp;")"</f>
        <v>Sous-total des tests HBsAg ()</v>
      </c>
      <c r="B59" s="133"/>
      <c r="C59" s="133"/>
      <c r="D59" s="133"/>
      <c r="E59" s="139"/>
      <c r="F59" s="134">
        <f>SUM(F33:F38)</f>
        <v>0</v>
      </c>
    </row>
    <row r="60" spans="1:6" x14ac:dyDescent="0.35">
      <c r="A60" s="138" t="str">
        <f>"Sous-total des tests triples ("&amp;Currency&amp;")"</f>
        <v>Sous-total des tests triples ()</v>
      </c>
      <c r="B60" s="133"/>
      <c r="C60" s="133"/>
      <c r="D60" s="133"/>
      <c r="E60" s="139"/>
      <c r="F60" s="134">
        <f>SUM(F39:F44)</f>
        <v>0</v>
      </c>
    </row>
    <row r="61" spans="1:6" x14ac:dyDescent="0.35">
      <c r="A61" s="138" t="str">
        <f>"Sous-total BPG ("&amp;Currency&amp;")"</f>
        <v>Sous-total BPG ()</v>
      </c>
      <c r="B61" s="133"/>
      <c r="C61" s="133"/>
      <c r="D61" s="133"/>
      <c r="E61" s="139"/>
      <c r="F61" s="134">
        <f>SUM(F45:F50)</f>
        <v>0</v>
      </c>
    </row>
    <row r="62" spans="1:6" x14ac:dyDescent="0.35">
      <c r="A62" s="138" t="str">
        <f>"Sous-total TDF ("&amp;Currency&amp;")"</f>
        <v>Sous-total TDF ()</v>
      </c>
      <c r="B62" s="133"/>
      <c r="C62" s="133"/>
      <c r="D62" s="133"/>
      <c r="E62" s="139"/>
      <c r="F62" s="134">
        <f>SUM(F51:F56)</f>
        <v>0</v>
      </c>
    </row>
    <row r="64" spans="1:6" ht="16" x14ac:dyDescent="0.4">
      <c r="A64" s="399" t="str">
        <f>"TOTAL GÉNÉRAL (3 ans) ("&amp;Currency&amp;")"</f>
        <v>TOTAL GÉNÉRAL (3 ans) ()</v>
      </c>
      <c r="B64" s="400"/>
      <c r="C64" s="400"/>
      <c r="D64" s="401"/>
      <c r="E64" s="41"/>
      <c r="F64" s="71">
        <f>SUM(F58:F62)</f>
        <v>0</v>
      </c>
    </row>
    <row r="66" spans="1:7" ht="16" x14ac:dyDescent="0.4">
      <c r="A66" s="398" t="s">
        <v>597</v>
      </c>
      <c r="B66" s="398"/>
      <c r="C66" s="398"/>
      <c r="D66" s="398"/>
      <c r="E66" s="398"/>
      <c r="F66" s="398"/>
      <c r="G66" s="398"/>
    </row>
    <row r="67" spans="1:7" ht="15" thickBot="1" x14ac:dyDescent="0.4"/>
    <row r="68" spans="1:7" ht="16.5" thickBot="1" x14ac:dyDescent="0.45">
      <c r="A68" s="374" t="s">
        <v>598</v>
      </c>
      <c r="B68" s="375"/>
      <c r="C68" s="375"/>
      <c r="D68" s="375"/>
      <c r="E68" s="375"/>
      <c r="F68" s="375"/>
      <c r="G68" s="376"/>
    </row>
    <row r="70" spans="1:7" x14ac:dyDescent="0.35">
      <c r="A70" s="163" t="s">
        <v>536</v>
      </c>
    </row>
    <row r="71" spans="1:7" s="25" customFormat="1" ht="29" x14ac:dyDescent="0.35">
      <c r="A71" s="58" t="s">
        <v>537</v>
      </c>
      <c r="B71" s="58" t="s">
        <v>538</v>
      </c>
      <c r="C71" s="58" t="s">
        <v>592</v>
      </c>
      <c r="D71" s="57" t="str">
        <f>"Coût au débarquement par boîte ("&amp;Currency&amp;")"</f>
        <v>Coût au débarquement par boîte ()</v>
      </c>
      <c r="E71" s="57" t="str">
        <f>"Coût total ("&amp;Currency&amp;")"</f>
        <v>Coût total ()</v>
      </c>
    </row>
    <row r="72" spans="1:7" x14ac:dyDescent="0.35">
      <c r="A72" s="13" t="str">
        <f>IF(DualTest_Freq="Annuel","Année 1","")</f>
        <v/>
      </c>
      <c r="B72" s="13" t="str">
        <f>IF(DualTest_Freq="Annuel",1,"")</f>
        <v/>
      </c>
      <c r="C72" s="14" t="str">
        <f>IF(DualTest_Freq="Annuel",Y1_DualTest_Packs,"")</f>
        <v/>
      </c>
      <c r="D72" s="243" t="str">
        <f>IF(DualTest_Freq="Annuel",DualTest_LandedCostPerPack,"")</f>
        <v/>
      </c>
      <c r="E72" s="70" t="str">
        <f>IF(DualTest_Freq="Annuel",C72*D72,"")</f>
        <v/>
      </c>
    </row>
    <row r="73" spans="1:7" x14ac:dyDescent="0.35">
      <c r="A73" s="13" t="str">
        <f>IF(DualTest_Freq="Annuel","Année 2","")</f>
        <v/>
      </c>
      <c r="B73" s="13" t="str">
        <f>IF(DualTest_Freq="Annuel",2,"")</f>
        <v/>
      </c>
      <c r="C73" s="14" t="str">
        <f>IF(DualTest_Freq="Annuel",Y2_DualTest_Packs,"")</f>
        <v/>
      </c>
      <c r="D73" s="243" t="str">
        <f>IF(DualTest_Freq="Annuel",DualTest_LandedCostPerPack,"")</f>
        <v/>
      </c>
      <c r="E73" s="70" t="str">
        <f>IF(DualTest_Freq="Annuel",C73*D73,"")</f>
        <v/>
      </c>
    </row>
    <row r="74" spans="1:7" x14ac:dyDescent="0.35">
      <c r="A74" s="13" t="str">
        <f>IF(DualTest_Freq="Annuel","Année 3","")</f>
        <v/>
      </c>
      <c r="B74" s="13" t="str">
        <f>IF(DualTest_Freq="Annuel",3,"")</f>
        <v/>
      </c>
      <c r="C74" s="14" t="str">
        <f>IF(DualTest_Freq="Annuel",Y3_DualTest_Packs,"")</f>
        <v/>
      </c>
      <c r="D74" s="243" t="str">
        <f>IF(DualTest_Freq="Annuel",DualTest_LandedCostPerPack,"")</f>
        <v/>
      </c>
      <c r="E74" s="70" t="str">
        <f>IF(DualTest_Freq="Annuel",C74*D74,"")</f>
        <v/>
      </c>
    </row>
    <row r="75" spans="1:7" x14ac:dyDescent="0.35">
      <c r="C75" s="48"/>
      <c r="E75" s="140"/>
    </row>
    <row r="76" spans="1:7" x14ac:dyDescent="0.35">
      <c r="A76" s="24" t="str">
        <f>"Total Année 1 ("&amp;Currency&amp;")"</f>
        <v>Total Année 1 ()</v>
      </c>
      <c r="B76" s="105"/>
      <c r="C76" s="106"/>
      <c r="D76" s="105"/>
      <c r="E76" s="147">
        <f>SUM(E72)</f>
        <v>0</v>
      </c>
    </row>
    <row r="77" spans="1:7" x14ac:dyDescent="0.35">
      <c r="A77" s="24" t="str">
        <f>"Total Année 2 ("&amp;Currency&amp;")"</f>
        <v>Total Année 2 ()</v>
      </c>
      <c r="B77" s="105"/>
      <c r="C77" s="106"/>
      <c r="D77" s="105"/>
      <c r="E77" s="147">
        <f>SUM(E73)</f>
        <v>0</v>
      </c>
    </row>
    <row r="78" spans="1:7" x14ac:dyDescent="0.35">
      <c r="A78" s="24" t="str">
        <f>"Total Année 3 ("&amp;Currency&amp;")"</f>
        <v>Total Année 3 ()</v>
      </c>
      <c r="B78" s="105"/>
      <c r="C78" s="106"/>
      <c r="D78" s="105"/>
      <c r="E78" s="147">
        <f>SUM(E74)</f>
        <v>0</v>
      </c>
    </row>
    <row r="80" spans="1:7" ht="16" x14ac:dyDescent="0.4">
      <c r="A80" s="108" t="str">
        <f>"Total sur 3 ans ("&amp;Currency&amp;")"</f>
        <v>Total sur 3 ans ()</v>
      </c>
      <c r="B80" s="109"/>
      <c r="C80" s="135"/>
      <c r="D80" s="135"/>
      <c r="E80" s="136">
        <f>SUM(E76:E78)</f>
        <v>0</v>
      </c>
    </row>
    <row r="82" spans="1:5" x14ac:dyDescent="0.35">
      <c r="A82" s="163" t="s">
        <v>549</v>
      </c>
    </row>
    <row r="83" spans="1:5" s="25" customFormat="1" ht="29" x14ac:dyDescent="0.35">
      <c r="A83" s="58" t="s">
        <v>537</v>
      </c>
      <c r="B83" s="58" t="s">
        <v>538</v>
      </c>
      <c r="C83" s="58" t="s">
        <v>592</v>
      </c>
      <c r="D83" s="57" t="str">
        <f>"Coût au débarquement par boîte ("&amp;Currency&amp;")"</f>
        <v>Coût au débarquement par boîte ()</v>
      </c>
      <c r="E83" s="57" t="str">
        <f>"Coût total ("&amp;Currency&amp;")"</f>
        <v>Coût total ()</v>
      </c>
    </row>
    <row r="84" spans="1:5" x14ac:dyDescent="0.35">
      <c r="A84" s="13" t="str">
        <f>IF(DualTest_Freq="semestriel","S1","")</f>
        <v/>
      </c>
      <c r="B84" s="13" t="str">
        <f>IF(DualTest_Freq="semestriel",1,"")</f>
        <v/>
      </c>
      <c r="C84" s="14" t="str">
        <f>IF(DualTest_Freq="semestriel",Quantification!L35,"")</f>
        <v/>
      </c>
      <c r="D84" s="13" t="str">
        <f t="shared" ref="D84:D89" si="6">IF(DualTest_Freq="semestriel",DualTest_LandedCostPerPack,"")</f>
        <v/>
      </c>
      <c r="E84" s="70" t="str">
        <f t="shared" ref="E84:E89" si="7">IF(DualTest_Freq="semestriel",C84*D84,"")</f>
        <v/>
      </c>
    </row>
    <row r="85" spans="1:5" x14ac:dyDescent="0.35">
      <c r="A85" s="13" t="str">
        <f>IF(DualTest_Freq="semestriel","S2","")</f>
        <v/>
      </c>
      <c r="B85" s="13" t="str">
        <f>IF(DualTest_Freq="semestriel",1,"")</f>
        <v/>
      </c>
      <c r="C85" s="14" t="str">
        <f>IF(DualTest_Freq="semestriel",Quantification!L36,"")</f>
        <v/>
      </c>
      <c r="D85" s="13" t="str">
        <f t="shared" si="6"/>
        <v/>
      </c>
      <c r="E85" s="70" t="str">
        <f t="shared" si="7"/>
        <v/>
      </c>
    </row>
    <row r="86" spans="1:5" x14ac:dyDescent="0.35">
      <c r="A86" s="13" t="str">
        <f>IF(DualTest_Freq="semestriel","S1","")</f>
        <v/>
      </c>
      <c r="B86" s="13" t="str">
        <f>IF(DualTest_Freq="semestriel",2,"")</f>
        <v/>
      </c>
      <c r="C86" s="14" t="str">
        <f>IF(DualTest_Freq="semestriel",Quantification!L37,"")</f>
        <v/>
      </c>
      <c r="D86" s="13" t="str">
        <f t="shared" si="6"/>
        <v/>
      </c>
      <c r="E86" s="70" t="str">
        <f t="shared" si="7"/>
        <v/>
      </c>
    </row>
    <row r="87" spans="1:5" x14ac:dyDescent="0.35">
      <c r="A87" s="13" t="str">
        <f>IF(DualTest_Freq="semestriel","S2","")</f>
        <v/>
      </c>
      <c r="B87" s="13" t="str">
        <f>IF(DualTest_Freq="semestriel",2,"")</f>
        <v/>
      </c>
      <c r="C87" s="14" t="str">
        <f>IF(DualTest_Freq="semestriel",Quantification!L38,"")</f>
        <v/>
      </c>
      <c r="D87" s="13" t="str">
        <f t="shared" si="6"/>
        <v/>
      </c>
      <c r="E87" s="70" t="str">
        <f t="shared" si="7"/>
        <v/>
      </c>
    </row>
    <row r="88" spans="1:5" x14ac:dyDescent="0.35">
      <c r="A88" s="13" t="str">
        <f>IF(DualTest_Freq="semestriel","S1","")</f>
        <v/>
      </c>
      <c r="B88" s="13" t="str">
        <f>IF(DualTest_Freq="semestriel",3,"")</f>
        <v/>
      </c>
      <c r="C88" s="14" t="str">
        <f>IF(DualTest_Freq="semestriel",Quantification!L39,"")</f>
        <v/>
      </c>
      <c r="D88" s="13" t="str">
        <f t="shared" si="6"/>
        <v/>
      </c>
      <c r="E88" s="70" t="str">
        <f t="shared" si="7"/>
        <v/>
      </c>
    </row>
    <row r="89" spans="1:5" x14ac:dyDescent="0.35">
      <c r="A89" s="13" t="str">
        <f>IF(DualTest_Freq="semestriel","S2","")</f>
        <v/>
      </c>
      <c r="B89" s="13" t="str">
        <f>IF(DualTest_Freq="semestriel",3,"")</f>
        <v/>
      </c>
      <c r="C89" s="14" t="str">
        <f>IF(DualTest_Freq="semestriel",Quantification!$L$40,"")</f>
        <v/>
      </c>
      <c r="D89" s="13" t="str">
        <f t="shared" si="6"/>
        <v/>
      </c>
      <c r="E89" s="70" t="str">
        <f t="shared" si="7"/>
        <v/>
      </c>
    </row>
    <row r="90" spans="1:5" x14ac:dyDescent="0.35">
      <c r="C90" s="48"/>
      <c r="E90" s="140"/>
    </row>
    <row r="91" spans="1:5" x14ac:dyDescent="0.35">
      <c r="A91" s="24" t="str">
        <f>"Total Année 1 ("&amp;Currency&amp;")"</f>
        <v>Total Année 1 ()</v>
      </c>
      <c r="B91" s="105"/>
      <c r="C91" s="106"/>
      <c r="D91" s="105"/>
      <c r="E91" s="147">
        <f>SUM(E84:E85)</f>
        <v>0</v>
      </c>
    </row>
    <row r="92" spans="1:5" x14ac:dyDescent="0.35">
      <c r="A92" s="24" t="str">
        <f>"Total Année 2 ("&amp;Currency&amp;")"</f>
        <v>Total Année 2 ()</v>
      </c>
      <c r="B92" s="105"/>
      <c r="C92" s="106"/>
      <c r="D92" s="105"/>
      <c r="E92" s="147">
        <f>SUM(E86:E87)</f>
        <v>0</v>
      </c>
    </row>
    <row r="93" spans="1:5" x14ac:dyDescent="0.35">
      <c r="A93" s="24" t="str">
        <f>"Total Année 3 ("&amp;Currency&amp;")"</f>
        <v>Total Année 3 ()</v>
      </c>
      <c r="B93" s="105"/>
      <c r="C93" s="106"/>
      <c r="D93" s="105"/>
      <c r="E93" s="147">
        <f>SUM(E88:E89)</f>
        <v>0</v>
      </c>
    </row>
    <row r="94" spans="1:5" x14ac:dyDescent="0.35">
      <c r="C94" s="48"/>
      <c r="E94" s="140"/>
    </row>
    <row r="95" spans="1:5" ht="16" x14ac:dyDescent="0.4">
      <c r="A95" s="108" t="str">
        <f>"Total sur 3 ans ("&amp;Currency&amp;")"</f>
        <v>Total sur 3 ans ()</v>
      </c>
      <c r="B95" s="109"/>
      <c r="C95" s="135"/>
      <c r="D95" s="135"/>
      <c r="E95" s="136">
        <f>SUM(E91:E93)</f>
        <v>0</v>
      </c>
    </row>
    <row r="97" spans="1:5" x14ac:dyDescent="0.35">
      <c r="A97" s="163" t="s">
        <v>550</v>
      </c>
    </row>
    <row r="98" spans="1:5" s="25" customFormat="1" ht="29" x14ac:dyDescent="0.35">
      <c r="A98" s="58" t="s">
        <v>537</v>
      </c>
      <c r="B98" s="58" t="s">
        <v>538</v>
      </c>
      <c r="C98" s="58" t="s">
        <v>592</v>
      </c>
      <c r="D98" s="57" t="str">
        <f>"Coût au débarquement par boîte ("&amp;Currency&amp;")"</f>
        <v>Coût au débarquement par boîte ()</v>
      </c>
      <c r="E98" s="57" t="str">
        <f>"Coût total ("&amp;Currency&amp;")"</f>
        <v>Coût total ()</v>
      </c>
    </row>
    <row r="99" spans="1:5" x14ac:dyDescent="0.35">
      <c r="A99" s="13" t="str">
        <f>IF(DualTest_Freq="trimestriel","T1","")</f>
        <v/>
      </c>
      <c r="B99" s="13" t="str">
        <f>IF(DualTest_Freq="trimestriel",1,"")</f>
        <v/>
      </c>
      <c r="C99" s="14" t="str">
        <f>IF(DualTest_Freq="trimestriel",Quantification!L50,"")</f>
        <v/>
      </c>
      <c r="D99" s="13" t="str">
        <f t="shared" ref="D99:D110" si="8">IF(DualTest_Freq="trimestriel",DualTest_LandedCostPerPack,"")</f>
        <v/>
      </c>
      <c r="E99" s="70" t="str">
        <f t="shared" ref="E99:E110" si="9">IF(DualTest_Freq="trimestriel",C99*D99,"")</f>
        <v/>
      </c>
    </row>
    <row r="100" spans="1:5" x14ac:dyDescent="0.35">
      <c r="A100" s="13" t="str">
        <f>IF(DualTest_Freq="trimestriel","T2","")</f>
        <v/>
      </c>
      <c r="B100" s="13" t="str">
        <f>IF(DualTest_Freq="trimestriel",1,"")</f>
        <v/>
      </c>
      <c r="C100" s="14" t="str">
        <f>IF(DualTest_Freq="trimestriel",Quantification!L51,"")</f>
        <v/>
      </c>
      <c r="D100" s="13" t="str">
        <f t="shared" si="8"/>
        <v/>
      </c>
      <c r="E100" s="70" t="str">
        <f t="shared" si="9"/>
        <v/>
      </c>
    </row>
    <row r="101" spans="1:5" x14ac:dyDescent="0.35">
      <c r="A101" s="13" t="str">
        <f>IF(DualTest_Freq="trimestriel","T3","")</f>
        <v/>
      </c>
      <c r="B101" s="13" t="str">
        <f>IF(DualTest_Freq="trimestriel",1,"")</f>
        <v/>
      </c>
      <c r="C101" s="14" t="str">
        <f>IF(DualTest_Freq="trimestriel",Quantification!L52,"")</f>
        <v/>
      </c>
      <c r="D101" s="13" t="str">
        <f t="shared" si="8"/>
        <v/>
      </c>
      <c r="E101" s="70" t="str">
        <f t="shared" si="9"/>
        <v/>
      </c>
    </row>
    <row r="102" spans="1:5" x14ac:dyDescent="0.35">
      <c r="A102" s="13" t="str">
        <f>IF(DualTest_Freq="trimestriel","T4","")</f>
        <v/>
      </c>
      <c r="B102" s="13" t="str">
        <f>IF(DualTest_Freq="trimestriel",1,"")</f>
        <v/>
      </c>
      <c r="C102" s="14" t="str">
        <f>IF(DualTest_Freq="trimestriel",Quantification!L53,"")</f>
        <v/>
      </c>
      <c r="D102" s="13" t="str">
        <f t="shared" si="8"/>
        <v/>
      </c>
      <c r="E102" s="70" t="str">
        <f t="shared" si="9"/>
        <v/>
      </c>
    </row>
    <row r="103" spans="1:5" x14ac:dyDescent="0.35">
      <c r="A103" s="13" t="str">
        <f>IF(DualTest_Freq="trimestriel","T1","")</f>
        <v/>
      </c>
      <c r="B103" s="13" t="str">
        <f>IF(DualTest_Freq="trimestriel",2,"")</f>
        <v/>
      </c>
      <c r="C103" s="14" t="str">
        <f>IF(DualTest_Freq="trimestriel",Quantification!L54,"")</f>
        <v/>
      </c>
      <c r="D103" s="13" t="str">
        <f t="shared" si="8"/>
        <v/>
      </c>
      <c r="E103" s="70" t="str">
        <f t="shared" si="9"/>
        <v/>
      </c>
    </row>
    <row r="104" spans="1:5" x14ac:dyDescent="0.35">
      <c r="A104" s="13" t="str">
        <f>IF(DualTest_Freq="trimestriel","T2","")</f>
        <v/>
      </c>
      <c r="B104" s="13" t="str">
        <f>IF(DualTest_Freq="trimestriel",2,"")</f>
        <v/>
      </c>
      <c r="C104" s="14" t="str">
        <f>IF(DualTest_Freq="trimestriel",Quantification!L55,"")</f>
        <v/>
      </c>
      <c r="D104" s="13" t="str">
        <f t="shared" si="8"/>
        <v/>
      </c>
      <c r="E104" s="70" t="str">
        <f t="shared" si="9"/>
        <v/>
      </c>
    </row>
    <row r="105" spans="1:5" x14ac:dyDescent="0.35">
      <c r="A105" s="13" t="str">
        <f>IF(DualTest_Freq="trimestriel","T3","")</f>
        <v/>
      </c>
      <c r="B105" s="13" t="str">
        <f>IF(DualTest_Freq="trimestriel",2,"")</f>
        <v/>
      </c>
      <c r="C105" s="14" t="str">
        <f>IF(DualTest_Freq="trimestriel",Quantification!L56,"")</f>
        <v/>
      </c>
      <c r="D105" s="13" t="str">
        <f t="shared" si="8"/>
        <v/>
      </c>
      <c r="E105" s="70" t="str">
        <f t="shared" si="9"/>
        <v/>
      </c>
    </row>
    <row r="106" spans="1:5" x14ac:dyDescent="0.35">
      <c r="A106" s="13" t="str">
        <f>IF(DualTest_Freq="trimestriel","T4","")</f>
        <v/>
      </c>
      <c r="B106" s="13" t="str">
        <f>IF(DualTest_Freq="trimestriel",2,"")</f>
        <v/>
      </c>
      <c r="C106" s="14" t="str">
        <f>IF(DualTest_Freq="trimestriel",Quantification!L57,"")</f>
        <v/>
      </c>
      <c r="D106" s="13" t="str">
        <f t="shared" si="8"/>
        <v/>
      </c>
      <c r="E106" s="70" t="str">
        <f t="shared" si="9"/>
        <v/>
      </c>
    </row>
    <row r="107" spans="1:5" x14ac:dyDescent="0.35">
      <c r="A107" s="13" t="str">
        <f>IF(DualTest_Freq="trimestriel","T1","")</f>
        <v/>
      </c>
      <c r="B107" s="13" t="str">
        <f>IF(DualTest_Freq="trimestriel",3,"")</f>
        <v/>
      </c>
      <c r="C107" s="14" t="str">
        <f>IF(DualTest_Freq="trimestriel",Quantification!L58,"")</f>
        <v/>
      </c>
      <c r="D107" s="13" t="str">
        <f t="shared" si="8"/>
        <v/>
      </c>
      <c r="E107" s="70" t="str">
        <f t="shared" si="9"/>
        <v/>
      </c>
    </row>
    <row r="108" spans="1:5" x14ac:dyDescent="0.35">
      <c r="A108" s="13" t="str">
        <f>IF(DualTest_Freq="trimestriel","T2","")</f>
        <v/>
      </c>
      <c r="B108" s="13" t="str">
        <f>IF(DualTest_Freq="trimestriel",3,"")</f>
        <v/>
      </c>
      <c r="C108" s="14" t="str">
        <f>IF(DualTest_Freq="trimestriel",Quantification!L59,"")</f>
        <v/>
      </c>
      <c r="D108" s="13" t="str">
        <f t="shared" si="8"/>
        <v/>
      </c>
      <c r="E108" s="70" t="str">
        <f t="shared" si="9"/>
        <v/>
      </c>
    </row>
    <row r="109" spans="1:5" x14ac:dyDescent="0.35">
      <c r="A109" s="13" t="str">
        <f>IF(DualTest_Freq="trimestriel","T3","")</f>
        <v/>
      </c>
      <c r="B109" s="13" t="str">
        <f>IF(DualTest_Freq="trimestriel",3,"")</f>
        <v/>
      </c>
      <c r="C109" s="14" t="str">
        <f>IF(DualTest_Freq="trimestriel",Quantification!L60,"")</f>
        <v/>
      </c>
      <c r="D109" s="13" t="str">
        <f t="shared" si="8"/>
        <v/>
      </c>
      <c r="E109" s="70" t="str">
        <f t="shared" si="9"/>
        <v/>
      </c>
    </row>
    <row r="110" spans="1:5" x14ac:dyDescent="0.35">
      <c r="A110" s="13" t="str">
        <f>IF(DualTest_Freq="trimestriel","T4","")</f>
        <v/>
      </c>
      <c r="B110" s="13" t="str">
        <f>IF(DualTest_Freq="trimestriel",3,"")</f>
        <v/>
      </c>
      <c r="C110" s="14" t="str">
        <f>IF(DualTest_Freq="trimestriel",Quantification!L61,"")</f>
        <v/>
      </c>
      <c r="D110" s="13" t="str">
        <f t="shared" si="8"/>
        <v/>
      </c>
      <c r="E110" s="70" t="str">
        <f t="shared" si="9"/>
        <v/>
      </c>
    </row>
    <row r="112" spans="1:5" x14ac:dyDescent="0.35">
      <c r="A112" s="24" t="str">
        <f>"Total Année 1 ("&amp;Currency&amp;")"</f>
        <v>Total Année 1 ()</v>
      </c>
      <c r="B112" s="105"/>
      <c r="C112" s="106"/>
      <c r="D112" s="105"/>
      <c r="E112" s="147">
        <f>SUM(E99:E102)</f>
        <v>0</v>
      </c>
    </row>
    <row r="113" spans="1:7" x14ac:dyDescent="0.35">
      <c r="A113" s="24" t="str">
        <f>"Total Année 2 ("&amp;Currency&amp;")"</f>
        <v>Total Année 2 ()</v>
      </c>
      <c r="B113" s="105"/>
      <c r="C113" s="106"/>
      <c r="D113" s="105"/>
      <c r="E113" s="147">
        <f>SUM(E103:E106)</f>
        <v>0</v>
      </c>
    </row>
    <row r="114" spans="1:7" x14ac:dyDescent="0.35">
      <c r="A114" s="24" t="str">
        <f>"Total Année 3 ("&amp;Currency&amp;")"</f>
        <v>Total Année 3 ()</v>
      </c>
      <c r="B114" s="105"/>
      <c r="C114" s="106"/>
      <c r="D114" s="105"/>
      <c r="E114" s="147">
        <f>SUM(E107:E110)</f>
        <v>0</v>
      </c>
    </row>
    <row r="115" spans="1:7" x14ac:dyDescent="0.35">
      <c r="C115" s="48"/>
      <c r="E115" s="140"/>
    </row>
    <row r="116" spans="1:7" ht="16" x14ac:dyDescent="0.4">
      <c r="A116" s="108" t="str">
        <f>"Total sur 3 ans ("&amp;Currency&amp;")"</f>
        <v>Total sur 3 ans ()</v>
      </c>
      <c r="B116" s="109"/>
      <c r="C116" s="135"/>
      <c r="D116" s="135"/>
      <c r="E116" s="136">
        <f>SUM(E112:E114)</f>
        <v>0</v>
      </c>
    </row>
    <row r="117" spans="1:7" ht="15" thickBot="1" x14ac:dyDescent="0.4"/>
    <row r="118" spans="1:7" ht="16.5" thickBot="1" x14ac:dyDescent="0.45">
      <c r="A118" s="374" t="s">
        <v>599</v>
      </c>
      <c r="B118" s="375"/>
      <c r="C118" s="375"/>
      <c r="D118" s="375"/>
      <c r="E118" s="375"/>
      <c r="F118" s="375"/>
      <c r="G118" s="376"/>
    </row>
    <row r="120" spans="1:7" x14ac:dyDescent="0.35">
      <c r="A120" s="163" t="s">
        <v>536</v>
      </c>
    </row>
    <row r="121" spans="1:7" s="25" customFormat="1" ht="29" x14ac:dyDescent="0.35">
      <c r="A121" s="58" t="s">
        <v>537</v>
      </c>
      <c r="B121" s="58" t="s">
        <v>538</v>
      </c>
      <c r="C121" s="58" t="s">
        <v>592</v>
      </c>
      <c r="D121" s="57" t="str">
        <f>"Coût au débarquement par boîte ("&amp;Currency&amp;")"</f>
        <v>Coût au débarquement par boîte ()</v>
      </c>
      <c r="E121" s="57" t="str">
        <f>"Coût total ("&amp;Currency&amp;")"</f>
        <v>Coût total ()</v>
      </c>
    </row>
    <row r="122" spans="1:7" x14ac:dyDescent="0.35">
      <c r="A122" s="13" t="str">
        <f>IF(HBsAg_Freq="Annuel","Année 1","")</f>
        <v/>
      </c>
      <c r="B122" s="13" t="str">
        <f>IF(HBsAg_Freq="Annuel",1,"")</f>
        <v/>
      </c>
      <c r="C122" s="14" t="str">
        <f>IF(HBsAg_Freq="Annuel",Y1_HBsAg_Packs,"")</f>
        <v/>
      </c>
      <c r="D122" s="227" t="str">
        <f>IF(HBsAg_Freq="Annuel",HBsAg_LandedCostPerPack,"")</f>
        <v/>
      </c>
      <c r="E122" s="70" t="str">
        <f>IF(HBsAg_Freq="Annuel",C122*D122,"")</f>
        <v/>
      </c>
    </row>
    <row r="123" spans="1:7" x14ac:dyDescent="0.35">
      <c r="A123" s="13" t="str">
        <f>IF(HBsAg_Freq="Annuel","Année 2","")</f>
        <v/>
      </c>
      <c r="B123" s="13" t="str">
        <f>IF(HBsAg_Freq="Annuel",2,"")</f>
        <v/>
      </c>
      <c r="C123" s="14" t="str">
        <f>IF(HBsAg_Freq="Annuel",Y2_HBsAg_Packs,"")</f>
        <v/>
      </c>
      <c r="D123" s="227" t="str">
        <f>IF(HBsAg_Freq="Annuel",HBsAg_LandedCostPerPack,"")</f>
        <v/>
      </c>
      <c r="E123" s="70" t="str">
        <f>IF(HBsAg_Freq="Annuel",C123*D123,"")</f>
        <v/>
      </c>
    </row>
    <row r="124" spans="1:7" x14ac:dyDescent="0.35">
      <c r="A124" s="13" t="str">
        <f>IF(HBsAg_Freq="Annuel","Année 3","")</f>
        <v/>
      </c>
      <c r="B124" s="13" t="str">
        <f>IF(HBsAg_Freq="Annuel",3,"")</f>
        <v/>
      </c>
      <c r="C124" s="14" t="str">
        <f>IF(HBsAg_Freq="Annuel",Y3_HBsAg_Packs,"")</f>
        <v/>
      </c>
      <c r="D124" s="227" t="str">
        <f>IF(HBsAg_Freq="Annuel",HBsAg_LandedCostPerPack,"")</f>
        <v/>
      </c>
      <c r="E124" s="70" t="str">
        <f>IF(HBsAg_Freq="Annuel",C124*D124,"")</f>
        <v/>
      </c>
    </row>
    <row r="125" spans="1:7" x14ac:dyDescent="0.35">
      <c r="C125" s="48"/>
      <c r="E125" s="140"/>
    </row>
    <row r="126" spans="1:7" x14ac:dyDescent="0.35">
      <c r="A126" s="24" t="str">
        <f>"Total Année 1 ("&amp;Currency&amp;")"</f>
        <v>Total Année 1 ()</v>
      </c>
      <c r="B126" s="105"/>
      <c r="C126" s="106"/>
      <c r="D126" s="105"/>
      <c r="E126" s="147">
        <f>SUM(E122)</f>
        <v>0</v>
      </c>
    </row>
    <row r="127" spans="1:7" x14ac:dyDescent="0.35">
      <c r="A127" s="24" t="str">
        <f>"Total Année 2 ("&amp;Currency&amp;")"</f>
        <v>Total Année 2 ()</v>
      </c>
      <c r="B127" s="105"/>
      <c r="C127" s="106"/>
      <c r="D127" s="105"/>
      <c r="E127" s="147">
        <f>SUM(E123)</f>
        <v>0</v>
      </c>
    </row>
    <row r="128" spans="1:7" x14ac:dyDescent="0.35">
      <c r="A128" s="24" t="str">
        <f>"Total Année 3 ("&amp;Currency&amp;")"</f>
        <v>Total Année 3 ()</v>
      </c>
      <c r="B128" s="105"/>
      <c r="C128" s="106"/>
      <c r="D128" s="105"/>
      <c r="E128" s="147">
        <f>SUM(E124)</f>
        <v>0</v>
      </c>
    </row>
    <row r="130" spans="1:5" ht="16" x14ac:dyDescent="0.4">
      <c r="A130" s="108" t="str">
        <f>"Total sur 3 ans ("&amp;Currency&amp;")"</f>
        <v>Total sur 3 ans ()</v>
      </c>
      <c r="B130" s="109"/>
      <c r="C130" s="135"/>
      <c r="D130" s="135"/>
      <c r="E130" s="136">
        <f>SUM(E126:E128)</f>
        <v>0</v>
      </c>
    </row>
    <row r="132" spans="1:5" x14ac:dyDescent="0.35">
      <c r="A132" s="163" t="s">
        <v>549</v>
      </c>
    </row>
    <row r="133" spans="1:5" s="25" customFormat="1" ht="29" x14ac:dyDescent="0.35">
      <c r="A133" s="58" t="s">
        <v>537</v>
      </c>
      <c r="B133" s="58" t="s">
        <v>538</v>
      </c>
      <c r="C133" s="58" t="s">
        <v>592</v>
      </c>
      <c r="D133" s="57" t="str">
        <f>"Coût au débarquement par boîte ("&amp;Currency&amp;")"</f>
        <v>Coût au débarquement par boîte ()</v>
      </c>
      <c r="E133" s="57" t="str">
        <f>"Coût total ("&amp;Currency&amp;")"</f>
        <v>Coût total ()</v>
      </c>
    </row>
    <row r="134" spans="1:5" x14ac:dyDescent="0.35">
      <c r="A134" s="13" t="str">
        <f>IF(HBsAg_Freq="semestriel","S1","")</f>
        <v/>
      </c>
      <c r="B134" s="13" t="str">
        <f>IF(HBsAg_Freq="semestriel",1,"")</f>
        <v/>
      </c>
      <c r="C134" s="14" t="str">
        <f>IF(HBsAg_Freq="semestriel",Quantification!L86,"")</f>
        <v/>
      </c>
      <c r="D134" s="227" t="str">
        <f t="shared" ref="D134:D139" si="10">IF(HBsAg_Freq="semestriel",HBsAg_LandedCostPerPack,"")</f>
        <v/>
      </c>
      <c r="E134" s="70" t="str">
        <f t="shared" ref="E134:E139" si="11">IF(HBsAg_Freq="semestriel",C134*D134,"")</f>
        <v/>
      </c>
    </row>
    <row r="135" spans="1:5" x14ac:dyDescent="0.35">
      <c r="A135" s="13" t="str">
        <f>IF(HBsAg_Freq="semestriel","S2","")</f>
        <v/>
      </c>
      <c r="B135" s="13" t="str">
        <f>IF(HBsAg_Freq="semestriel",1,"")</f>
        <v/>
      </c>
      <c r="C135" s="14" t="str">
        <f>IF(HBsAg_Freq="semestriel",Quantification!L87,"")</f>
        <v/>
      </c>
      <c r="D135" s="227" t="str">
        <f t="shared" si="10"/>
        <v/>
      </c>
      <c r="E135" s="70" t="str">
        <f t="shared" si="11"/>
        <v/>
      </c>
    </row>
    <row r="136" spans="1:5" x14ac:dyDescent="0.35">
      <c r="A136" s="13" t="str">
        <f>IF(HBsAg_Freq="semestriel","S1","")</f>
        <v/>
      </c>
      <c r="B136" s="13" t="str">
        <f>IF(HBsAg_Freq="semestriel",2,"")</f>
        <v/>
      </c>
      <c r="C136" s="14" t="str">
        <f>IF(HBsAg_Freq="semestriel",Quantification!L88,"")</f>
        <v/>
      </c>
      <c r="D136" s="227" t="str">
        <f t="shared" si="10"/>
        <v/>
      </c>
      <c r="E136" s="70" t="str">
        <f t="shared" si="11"/>
        <v/>
      </c>
    </row>
    <row r="137" spans="1:5" x14ac:dyDescent="0.35">
      <c r="A137" s="13" t="str">
        <f>IF(HBsAg_Freq="semestriel","S2","")</f>
        <v/>
      </c>
      <c r="B137" s="13" t="str">
        <f>IF(HBsAg_Freq="semestriel",2,"")</f>
        <v/>
      </c>
      <c r="C137" s="14" t="str">
        <f>IF(HBsAg_Freq="semestriel",Quantification!L89,"")</f>
        <v/>
      </c>
      <c r="D137" s="227" t="str">
        <f t="shared" si="10"/>
        <v/>
      </c>
      <c r="E137" s="70" t="str">
        <f t="shared" si="11"/>
        <v/>
      </c>
    </row>
    <row r="138" spans="1:5" x14ac:dyDescent="0.35">
      <c r="A138" s="13" t="str">
        <f>IF(HBsAg_Freq="semestriel","S1","")</f>
        <v/>
      </c>
      <c r="B138" s="13" t="str">
        <f>IF(HBsAg_Freq="semestriel",3,"")</f>
        <v/>
      </c>
      <c r="C138" s="14" t="str">
        <f>IF(HBsAg_Freq="semestriel",Quantification!L90,"")</f>
        <v/>
      </c>
      <c r="D138" s="227" t="str">
        <f t="shared" si="10"/>
        <v/>
      </c>
      <c r="E138" s="70" t="str">
        <f t="shared" si="11"/>
        <v/>
      </c>
    </row>
    <row r="139" spans="1:5" x14ac:dyDescent="0.35">
      <c r="A139" s="13" t="str">
        <f>IF(HBsAg_Freq="semestriel","S2","")</f>
        <v/>
      </c>
      <c r="B139" s="13" t="str">
        <f>IF(HBsAg_Freq="semestriel",3,"")</f>
        <v/>
      </c>
      <c r="C139" s="14" t="str">
        <f>IF(HBsAg_Freq="semestriel",Quantification!L91,"")</f>
        <v/>
      </c>
      <c r="D139" s="227" t="str">
        <f t="shared" si="10"/>
        <v/>
      </c>
      <c r="E139" s="70" t="str">
        <f t="shared" si="11"/>
        <v/>
      </c>
    </row>
    <row r="140" spans="1:5" x14ac:dyDescent="0.35">
      <c r="C140" s="48"/>
      <c r="E140" s="140"/>
    </row>
    <row r="141" spans="1:5" x14ac:dyDescent="0.35">
      <c r="A141" s="24" t="str">
        <f>"Total Année 1 ("&amp;Currency&amp;")"</f>
        <v>Total Année 1 ()</v>
      </c>
      <c r="B141" s="105"/>
      <c r="C141" s="106"/>
      <c r="D141" s="105"/>
      <c r="E141" s="147">
        <f>SUM(E134:E135)</f>
        <v>0</v>
      </c>
    </row>
    <row r="142" spans="1:5" x14ac:dyDescent="0.35">
      <c r="A142" s="24" t="str">
        <f>"Total Année 2 ("&amp;Currency&amp;")"</f>
        <v>Total Année 2 ()</v>
      </c>
      <c r="B142" s="105"/>
      <c r="C142" s="106"/>
      <c r="D142" s="105"/>
      <c r="E142" s="147">
        <f>SUM(E136:E137)</f>
        <v>0</v>
      </c>
    </row>
    <row r="143" spans="1:5" x14ac:dyDescent="0.35">
      <c r="A143" s="24" t="str">
        <f>"Total Année 3 ("&amp;Currency&amp;")"</f>
        <v>Total Année 3 ()</v>
      </c>
      <c r="B143" s="105"/>
      <c r="C143" s="106"/>
      <c r="D143" s="105"/>
      <c r="E143" s="147">
        <f>SUM(E138:E139)</f>
        <v>0</v>
      </c>
    </row>
    <row r="144" spans="1:5" x14ac:dyDescent="0.35">
      <c r="C144" s="48"/>
      <c r="E144" s="140"/>
    </row>
    <row r="145" spans="1:5" ht="16" x14ac:dyDescent="0.4">
      <c r="A145" s="108" t="str">
        <f>"Total sur 3 ans ("&amp;Currency&amp;")"</f>
        <v>Total sur 3 ans ()</v>
      </c>
      <c r="B145" s="109"/>
      <c r="C145" s="135"/>
      <c r="D145" s="135"/>
      <c r="E145" s="136">
        <f>SUM(E141:E143)</f>
        <v>0</v>
      </c>
    </row>
    <row r="147" spans="1:5" x14ac:dyDescent="0.35">
      <c r="A147" s="163" t="s">
        <v>550</v>
      </c>
    </row>
    <row r="148" spans="1:5" s="25" customFormat="1" ht="29" x14ac:dyDescent="0.35">
      <c r="A148" s="58" t="s">
        <v>537</v>
      </c>
      <c r="B148" s="58" t="s">
        <v>538</v>
      </c>
      <c r="C148" s="58" t="s">
        <v>592</v>
      </c>
      <c r="D148" s="57" t="str">
        <f>"Coût au débarquement par boîte ("&amp;Currency&amp;")"</f>
        <v>Coût au débarquement par boîte ()</v>
      </c>
      <c r="E148" s="57" t="str">
        <f>"Coût total ("&amp;Currency&amp;")"</f>
        <v>Coût total ()</v>
      </c>
    </row>
    <row r="149" spans="1:5" x14ac:dyDescent="0.35">
      <c r="A149" s="13" t="str">
        <f>IF(HBsAg_Freq="trimestriel","T1","")</f>
        <v/>
      </c>
      <c r="B149" s="36" t="str">
        <f>IF(HBsAg_Freq="trimestriel","1","")</f>
        <v/>
      </c>
      <c r="C149" s="14" t="str">
        <f>IF(HBsAg_Freq="trimestriel",Quantification!L101,"")</f>
        <v/>
      </c>
      <c r="D149" s="243" t="str">
        <f t="shared" ref="D149:D160" si="12">IF(HBsAg_Freq="trimestriel",HBsAg_LandedCostPerPack,"")</f>
        <v/>
      </c>
      <c r="E149" s="70" t="str">
        <f t="shared" ref="E149:E160" si="13">IF(HBsAg_Freq="trimestriel",C149*D149,"")</f>
        <v/>
      </c>
    </row>
    <row r="150" spans="1:5" x14ac:dyDescent="0.35">
      <c r="A150" s="13" t="str">
        <f>IF(HBsAg_Freq="trimestriel","T2","")</f>
        <v/>
      </c>
      <c r="B150" s="36" t="str">
        <f>IF(HBsAg_Freq="trimestriel","1","")</f>
        <v/>
      </c>
      <c r="C150" s="14" t="str">
        <f>IF(HBsAg_Freq="trimestriel",Quantification!L102,"")</f>
        <v/>
      </c>
      <c r="D150" s="243" t="str">
        <f t="shared" si="12"/>
        <v/>
      </c>
      <c r="E150" s="70" t="str">
        <f t="shared" si="13"/>
        <v/>
      </c>
    </row>
    <row r="151" spans="1:5" x14ac:dyDescent="0.35">
      <c r="A151" s="13" t="str">
        <f>IF(HBsAg_Freq="trimestriel","T3","")</f>
        <v/>
      </c>
      <c r="B151" s="36" t="str">
        <f>IF(HBsAg_Freq="trimestriel","1","")</f>
        <v/>
      </c>
      <c r="C151" s="14" t="str">
        <f>IF(HBsAg_Freq="trimestriel",Quantification!L103,"")</f>
        <v/>
      </c>
      <c r="D151" s="243" t="str">
        <f t="shared" si="12"/>
        <v/>
      </c>
      <c r="E151" s="70" t="str">
        <f t="shared" si="13"/>
        <v/>
      </c>
    </row>
    <row r="152" spans="1:5" x14ac:dyDescent="0.35">
      <c r="A152" s="13" t="str">
        <f>IF(HBsAg_Freq="trimestriel","T4","")</f>
        <v/>
      </c>
      <c r="B152" s="36" t="str">
        <f>IF(HBsAg_Freq="trimestriel","1","")</f>
        <v/>
      </c>
      <c r="C152" s="14" t="str">
        <f>IF(HBsAg_Freq="trimestriel",Quantification!L104,"")</f>
        <v/>
      </c>
      <c r="D152" s="243" t="str">
        <f t="shared" si="12"/>
        <v/>
      </c>
      <c r="E152" s="70" t="str">
        <f t="shared" si="13"/>
        <v/>
      </c>
    </row>
    <row r="153" spans="1:5" x14ac:dyDescent="0.35">
      <c r="A153" s="13" t="str">
        <f>IF(HBsAg_Freq="trimestriel","T1","")</f>
        <v/>
      </c>
      <c r="B153" s="36" t="str">
        <f>IF(HBsAg_Freq="trimestriel","2","")</f>
        <v/>
      </c>
      <c r="C153" s="14" t="str">
        <f>IF(HBsAg_Freq="trimestriel",Quantification!L105,"")</f>
        <v/>
      </c>
      <c r="D153" s="243" t="str">
        <f t="shared" si="12"/>
        <v/>
      </c>
      <c r="E153" s="70" t="str">
        <f t="shared" si="13"/>
        <v/>
      </c>
    </row>
    <row r="154" spans="1:5" x14ac:dyDescent="0.35">
      <c r="A154" s="13" t="str">
        <f>IF(HBsAg_Freq="trimestriel","T2","")</f>
        <v/>
      </c>
      <c r="B154" s="36" t="str">
        <f>IF(HBsAg_Freq="trimestriel","2","")</f>
        <v/>
      </c>
      <c r="C154" s="14" t="str">
        <f>IF(HBsAg_Freq="trimestriel",Quantification!L106,"")</f>
        <v/>
      </c>
      <c r="D154" s="243" t="str">
        <f t="shared" si="12"/>
        <v/>
      </c>
      <c r="E154" s="70" t="str">
        <f t="shared" si="13"/>
        <v/>
      </c>
    </row>
    <row r="155" spans="1:5" x14ac:dyDescent="0.35">
      <c r="A155" s="13" t="str">
        <f>IF(HBsAg_Freq="trimestriel","T3","")</f>
        <v/>
      </c>
      <c r="B155" s="36" t="str">
        <f>IF(HBsAg_Freq="trimestriel","2","")</f>
        <v/>
      </c>
      <c r="C155" s="14" t="str">
        <f>IF(HBsAg_Freq="trimestriel",Quantification!L107,"")</f>
        <v/>
      </c>
      <c r="D155" s="243" t="str">
        <f t="shared" si="12"/>
        <v/>
      </c>
      <c r="E155" s="70" t="str">
        <f t="shared" si="13"/>
        <v/>
      </c>
    </row>
    <row r="156" spans="1:5" x14ac:dyDescent="0.35">
      <c r="A156" s="13" t="str">
        <f>IF(HBsAg_Freq="trimestriel","T4","")</f>
        <v/>
      </c>
      <c r="B156" s="36" t="str">
        <f>IF(HBsAg_Freq="trimestriel","2","")</f>
        <v/>
      </c>
      <c r="C156" s="14" t="str">
        <f>IF(HBsAg_Freq="trimestriel",Quantification!L108,"")</f>
        <v/>
      </c>
      <c r="D156" s="243" t="str">
        <f t="shared" si="12"/>
        <v/>
      </c>
      <c r="E156" s="70" t="str">
        <f t="shared" si="13"/>
        <v/>
      </c>
    </row>
    <row r="157" spans="1:5" x14ac:dyDescent="0.35">
      <c r="A157" s="13" t="str">
        <f>IF(HBsAg_Freq="trimestriel","T1","")</f>
        <v/>
      </c>
      <c r="B157" s="36" t="str">
        <f>IF(HBsAg_Freq="trimestriel","3","")</f>
        <v/>
      </c>
      <c r="C157" s="14" t="str">
        <f>IF(HBsAg_Freq="trimestriel",Quantification!L109,"")</f>
        <v/>
      </c>
      <c r="D157" s="243" t="str">
        <f t="shared" si="12"/>
        <v/>
      </c>
      <c r="E157" s="70" t="str">
        <f t="shared" si="13"/>
        <v/>
      </c>
    </row>
    <row r="158" spans="1:5" x14ac:dyDescent="0.35">
      <c r="A158" s="13" t="str">
        <f>IF(HBsAg_Freq="trimestriel","T2","")</f>
        <v/>
      </c>
      <c r="B158" s="36" t="str">
        <f>IF(HBsAg_Freq="trimestriel","3","")</f>
        <v/>
      </c>
      <c r="C158" s="14" t="str">
        <f>IF(HBsAg_Freq="trimestriel",Quantification!L110,"")</f>
        <v/>
      </c>
      <c r="D158" s="243" t="str">
        <f t="shared" si="12"/>
        <v/>
      </c>
      <c r="E158" s="70" t="str">
        <f t="shared" si="13"/>
        <v/>
      </c>
    </row>
    <row r="159" spans="1:5" x14ac:dyDescent="0.35">
      <c r="A159" s="13" t="str">
        <f>IF(HBsAg_Freq="trimestriel","T3","")</f>
        <v/>
      </c>
      <c r="B159" s="36" t="str">
        <f>IF(HBsAg_Freq="trimestriel","3","")</f>
        <v/>
      </c>
      <c r="C159" s="14" t="str">
        <f>IF(HBsAg_Freq="trimestriel",Quantification!L111,"")</f>
        <v/>
      </c>
      <c r="D159" s="243" t="str">
        <f t="shared" si="12"/>
        <v/>
      </c>
      <c r="E159" s="70" t="str">
        <f t="shared" si="13"/>
        <v/>
      </c>
    </row>
    <row r="160" spans="1:5" x14ac:dyDescent="0.35">
      <c r="A160" s="13" t="str">
        <f>IF(HBsAg_Freq="trimestriel","T4","")</f>
        <v/>
      </c>
      <c r="B160" s="36" t="str">
        <f>IF(HBsAg_Freq="trimestriel","3","")</f>
        <v/>
      </c>
      <c r="C160" s="14" t="str">
        <f>IF(HBsAg_Freq="trimestriel",Quantification!L112,"")</f>
        <v/>
      </c>
      <c r="D160" s="243" t="str">
        <f t="shared" si="12"/>
        <v/>
      </c>
      <c r="E160" s="70" t="str">
        <f t="shared" si="13"/>
        <v/>
      </c>
    </row>
    <row r="162" spans="1:7" x14ac:dyDescent="0.35">
      <c r="A162" s="24" t="str">
        <f>"Total Année 1 ("&amp;Currency&amp;")"</f>
        <v>Total Année 1 ()</v>
      </c>
      <c r="B162" s="105"/>
      <c r="C162" s="106"/>
      <c r="D162" s="105"/>
      <c r="E162" s="147">
        <f>SUM(E149:E152)</f>
        <v>0</v>
      </c>
    </row>
    <row r="163" spans="1:7" x14ac:dyDescent="0.35">
      <c r="A163" s="24" t="str">
        <f>"Total Année 2 ("&amp;Currency&amp;")"</f>
        <v>Total Année 2 ()</v>
      </c>
      <c r="B163" s="105"/>
      <c r="C163" s="106"/>
      <c r="D163" s="105"/>
      <c r="E163" s="147">
        <f>SUM(E153:E156)</f>
        <v>0</v>
      </c>
    </row>
    <row r="164" spans="1:7" x14ac:dyDescent="0.35">
      <c r="A164" s="24" t="str">
        <f>"Total Année 3 ("&amp;Currency&amp;")"</f>
        <v>Total Année 3 ()</v>
      </c>
      <c r="B164" s="105"/>
      <c r="C164" s="106"/>
      <c r="D164" s="105"/>
      <c r="E164" s="147">
        <f>SUM(E157:E160)</f>
        <v>0</v>
      </c>
    </row>
    <row r="165" spans="1:7" x14ac:dyDescent="0.35">
      <c r="C165" s="48"/>
      <c r="E165" s="140"/>
    </row>
    <row r="166" spans="1:7" ht="16" x14ac:dyDescent="0.4">
      <c r="A166" s="108" t="str">
        <f>"Total sur 3 ans ("&amp;Currency&amp;")"</f>
        <v>Total sur 3 ans ()</v>
      </c>
      <c r="B166" s="109"/>
      <c r="C166" s="135"/>
      <c r="D166" s="135"/>
      <c r="E166" s="136">
        <f>SUM(E162:E164)</f>
        <v>0</v>
      </c>
    </row>
    <row r="167" spans="1:7" ht="15" thickBot="1" x14ac:dyDescent="0.4"/>
    <row r="168" spans="1:7" ht="16.5" thickBot="1" x14ac:dyDescent="0.45">
      <c r="A168" s="374" t="s">
        <v>600</v>
      </c>
      <c r="B168" s="375"/>
      <c r="C168" s="375"/>
      <c r="D168" s="375"/>
      <c r="E168" s="375"/>
      <c r="F168" s="375"/>
      <c r="G168" s="376"/>
    </row>
    <row r="170" spans="1:7" x14ac:dyDescent="0.35">
      <c r="A170" s="163" t="s">
        <v>595</v>
      </c>
    </row>
    <row r="171" spans="1:7" s="25" customFormat="1" ht="29" x14ac:dyDescent="0.35">
      <c r="A171" s="58" t="s">
        <v>537</v>
      </c>
      <c r="B171" s="58" t="s">
        <v>538</v>
      </c>
      <c r="C171" s="58" t="s">
        <v>592</v>
      </c>
      <c r="D171" s="57" t="str">
        <f>"Coût au débarquement par boîte ("&amp;Currency&amp;")"</f>
        <v>Coût au débarquement par boîte ()</v>
      </c>
      <c r="E171" s="57" t="str">
        <f>"Coût total ("&amp;Currency&amp;")"</f>
        <v>Coût total ()</v>
      </c>
    </row>
    <row r="172" spans="1:7" x14ac:dyDescent="0.35">
      <c r="A172" s="13" t="str">
        <f>IF(TripleTest_Freq="Annuel","Année 1","")</f>
        <v/>
      </c>
      <c r="B172" s="13" t="str">
        <f>IF(TripleTest_Freq="Annuel",1,"")</f>
        <v/>
      </c>
      <c r="C172" s="14" t="str">
        <f>IF(TripleTest_Freq="Annuel",Y1_TripleTest_Packs,"")</f>
        <v/>
      </c>
      <c r="D172" s="13" t="str">
        <f>IF(TripleTest_Freq="Annuel",TripleTest_LandedCostPerPack,"")</f>
        <v/>
      </c>
      <c r="E172" s="70" t="str">
        <f>IF(TripleTest_Freq="Annuel",C172*D172,"")</f>
        <v/>
      </c>
    </row>
    <row r="173" spans="1:7" x14ac:dyDescent="0.35">
      <c r="A173" s="13" t="str">
        <f>IF(TripleTest_Freq="Annuel","Année 2","")</f>
        <v/>
      </c>
      <c r="B173" s="13" t="str">
        <f>IF(TripleTest_Freq="Annuel",2,"")</f>
        <v/>
      </c>
      <c r="C173" s="14" t="str">
        <f>IF(TripleTest_Freq="Annuel",Y2_TripleTest_Packs,"")</f>
        <v/>
      </c>
      <c r="D173" s="13" t="str">
        <f>IF(TripleTest_Freq="Annuel",TripleTest_LandedCostPerPack,"")</f>
        <v/>
      </c>
      <c r="E173" s="70" t="str">
        <f>IF(TripleTest_Freq="Annuel",C173*D173,"")</f>
        <v/>
      </c>
    </row>
    <row r="174" spans="1:7" x14ac:dyDescent="0.35">
      <c r="A174" s="13" t="str">
        <f>IF(TripleTest_Freq="Annuel","Année 3","")</f>
        <v/>
      </c>
      <c r="B174" s="13" t="str">
        <f>IF(TripleTest_Freq="Annuel",3,"")</f>
        <v/>
      </c>
      <c r="C174" s="14" t="str">
        <f>IF(TripleTest_Freq="Annuel",Y3_TripleTest_Packs,"")</f>
        <v/>
      </c>
      <c r="D174" s="13" t="str">
        <f>IF(TripleTest_Freq="Annuel",TripleTest_LandedCostPerPack,"")</f>
        <v/>
      </c>
      <c r="E174" s="70" t="str">
        <f>IF(TripleTest_Freq="Annuel",C174*D174,"")</f>
        <v/>
      </c>
    </row>
    <row r="175" spans="1:7" x14ac:dyDescent="0.35">
      <c r="C175" s="48"/>
      <c r="E175" s="140"/>
    </row>
    <row r="176" spans="1:7" x14ac:dyDescent="0.35">
      <c r="A176" s="24" t="str">
        <f>"Total Année 1 ("&amp;Currency&amp;")"</f>
        <v>Total Année 1 ()</v>
      </c>
      <c r="B176" s="105"/>
      <c r="C176" s="106"/>
      <c r="D176" s="105"/>
      <c r="E176" s="147">
        <f>SUM(E172)</f>
        <v>0</v>
      </c>
    </row>
    <row r="177" spans="1:5" x14ac:dyDescent="0.35">
      <c r="A177" s="24" t="str">
        <f>"Total Année 2 ("&amp;Currency&amp;")"</f>
        <v>Total Année 2 ()</v>
      </c>
      <c r="B177" s="105"/>
      <c r="C177" s="106"/>
      <c r="D177" s="105"/>
      <c r="E177" s="147">
        <f>SUM(E173)</f>
        <v>0</v>
      </c>
    </row>
    <row r="178" spans="1:5" x14ac:dyDescent="0.35">
      <c r="A178" s="24" t="str">
        <f>"Total Année 3 ("&amp;Currency&amp;")"</f>
        <v>Total Année 3 ()</v>
      </c>
      <c r="B178" s="105"/>
      <c r="C178" s="106"/>
      <c r="D178" s="105"/>
      <c r="E178" s="147">
        <f>SUM(E174)</f>
        <v>0</v>
      </c>
    </row>
    <row r="180" spans="1:5" ht="16" x14ac:dyDescent="0.4">
      <c r="A180" s="108" t="str">
        <f>"Total sur 3 ans ("&amp;Currency&amp;")"</f>
        <v>Total sur 3 ans ()</v>
      </c>
      <c r="B180" s="109"/>
      <c r="C180" s="135"/>
      <c r="D180" s="135"/>
      <c r="E180" s="136">
        <f>SUM(E176:E178)</f>
        <v>0</v>
      </c>
    </row>
    <row r="182" spans="1:5" x14ac:dyDescent="0.35">
      <c r="A182" s="163" t="s">
        <v>549</v>
      </c>
    </row>
    <row r="183" spans="1:5" s="25" customFormat="1" ht="29" x14ac:dyDescent="0.35">
      <c r="A183" s="58" t="s">
        <v>537</v>
      </c>
      <c r="B183" s="58" t="s">
        <v>538</v>
      </c>
      <c r="C183" s="58" t="s">
        <v>592</v>
      </c>
      <c r="D183" s="57" t="str">
        <f>"Coût au débarquement par boîte ("&amp;Currency&amp;")"</f>
        <v>Coût au débarquement par boîte ()</v>
      </c>
      <c r="E183" s="57" t="str">
        <f>"Coût total ("&amp;Currency&amp;")"</f>
        <v>Coût total ()</v>
      </c>
    </row>
    <row r="184" spans="1:5" x14ac:dyDescent="0.35">
      <c r="A184" s="13" t="str">
        <f>IF(TripleTest_Freq="semestriel","S1","")</f>
        <v/>
      </c>
      <c r="B184" s="13" t="str">
        <f>IF(TripleTest_Freq="semestriel",1,"")</f>
        <v/>
      </c>
      <c r="C184" s="14" t="str">
        <f>IF(TripleTest_Freq="semestriel",Quantification!L137,"")</f>
        <v/>
      </c>
      <c r="D184" s="13" t="str">
        <f t="shared" ref="D184:D189" si="14">IF(TripleTest_Freq="semestriel",TripleTest_LandedCostPerPack,"")</f>
        <v/>
      </c>
      <c r="E184" s="70" t="str">
        <f t="shared" ref="E184:E189" si="15">IF(TripleTest_Freq="semestriel",C184*D184,"")</f>
        <v/>
      </c>
    </row>
    <row r="185" spans="1:5" x14ac:dyDescent="0.35">
      <c r="A185" s="13" t="str">
        <f>IF(TripleTest_Freq="semestriel","S2","")</f>
        <v/>
      </c>
      <c r="B185" s="13" t="str">
        <f>IF(TripleTest_Freq="semestriel",1,"")</f>
        <v/>
      </c>
      <c r="C185" s="14" t="str">
        <f>IF(TripleTest_Freq="semestriel",Quantification!L138,"")</f>
        <v/>
      </c>
      <c r="D185" s="13" t="str">
        <f t="shared" si="14"/>
        <v/>
      </c>
      <c r="E185" s="70" t="str">
        <f t="shared" si="15"/>
        <v/>
      </c>
    </row>
    <row r="186" spans="1:5" x14ac:dyDescent="0.35">
      <c r="A186" s="13" t="str">
        <f>IF(TripleTest_Freq="semestriel","S1","")</f>
        <v/>
      </c>
      <c r="B186" s="13" t="str">
        <f>IF(TripleTest_Freq="semestriel",2,"")</f>
        <v/>
      </c>
      <c r="C186" s="14" t="str">
        <f>IF(TripleTest_Freq="semestriel",Quantification!L139,"")</f>
        <v/>
      </c>
      <c r="D186" s="13" t="str">
        <f t="shared" si="14"/>
        <v/>
      </c>
      <c r="E186" s="70" t="str">
        <f t="shared" si="15"/>
        <v/>
      </c>
    </row>
    <row r="187" spans="1:5" x14ac:dyDescent="0.35">
      <c r="A187" s="13" t="str">
        <f>IF(TripleTest_Freq="semestriel","S2","")</f>
        <v/>
      </c>
      <c r="B187" s="13" t="str">
        <f>IF(TripleTest_Freq="semestriel",2,"")</f>
        <v/>
      </c>
      <c r="C187" s="14" t="str">
        <f>IF(TripleTest_Freq="semestriel",Quantification!L140,"")</f>
        <v/>
      </c>
      <c r="D187" s="13" t="str">
        <f t="shared" si="14"/>
        <v/>
      </c>
      <c r="E187" s="70" t="str">
        <f t="shared" si="15"/>
        <v/>
      </c>
    </row>
    <row r="188" spans="1:5" x14ac:dyDescent="0.35">
      <c r="A188" s="13" t="str">
        <f>IF(TripleTest_Freq="semestriel","S1","")</f>
        <v/>
      </c>
      <c r="B188" s="13" t="str">
        <f>IF(TripleTest_Freq="semestriel",3,"")</f>
        <v/>
      </c>
      <c r="C188" s="14" t="str">
        <f>IF(TripleTest_Freq="semestriel",Quantification!L141,"")</f>
        <v/>
      </c>
      <c r="D188" s="13" t="str">
        <f t="shared" si="14"/>
        <v/>
      </c>
      <c r="E188" s="70" t="str">
        <f t="shared" si="15"/>
        <v/>
      </c>
    </row>
    <row r="189" spans="1:5" x14ac:dyDescent="0.35">
      <c r="A189" s="13" t="str">
        <f>IF(TripleTest_Freq="semestriel","S2","")</f>
        <v/>
      </c>
      <c r="B189" s="13" t="str">
        <f>IF(TripleTest_Freq="semestriel",3,"")</f>
        <v/>
      </c>
      <c r="C189" s="14" t="str">
        <f>IF(TripleTest_Freq="semestriel",Quantification!L142,"")</f>
        <v/>
      </c>
      <c r="D189" s="13" t="str">
        <f t="shared" si="14"/>
        <v/>
      </c>
      <c r="E189" s="70" t="str">
        <f t="shared" si="15"/>
        <v/>
      </c>
    </row>
    <row r="190" spans="1:5" x14ac:dyDescent="0.35">
      <c r="C190" s="48"/>
      <c r="E190" s="140"/>
    </row>
    <row r="191" spans="1:5" x14ac:dyDescent="0.35">
      <c r="A191" s="24" t="str">
        <f>"Total Année 1 ("&amp;Currency&amp;")"</f>
        <v>Total Année 1 ()</v>
      </c>
      <c r="B191" s="105"/>
      <c r="C191" s="106"/>
      <c r="D191" s="105"/>
      <c r="E191" s="147">
        <f>SUM(E184:E185,E437:E438)</f>
        <v>0</v>
      </c>
    </row>
    <row r="192" spans="1:5" x14ac:dyDescent="0.35">
      <c r="A192" s="24" t="str">
        <f>"Total Année 2 ("&amp;Currency&amp;")"</f>
        <v>Total Année 2 ()</v>
      </c>
      <c r="B192" s="105"/>
      <c r="C192" s="106"/>
      <c r="D192" s="105"/>
      <c r="E192" s="147">
        <f>SUM(E186:E187,E439:E440)</f>
        <v>0</v>
      </c>
    </row>
    <row r="193" spans="1:5" x14ac:dyDescent="0.35">
      <c r="A193" s="24" t="str">
        <f>"Total Année 3 ("&amp;Currency&amp;")"</f>
        <v>Total Année 3 ()</v>
      </c>
      <c r="B193" s="105"/>
      <c r="C193" s="106"/>
      <c r="D193" s="105"/>
      <c r="E193" s="147">
        <f>SUM(E188:E189,E441:E442)</f>
        <v>0</v>
      </c>
    </row>
    <row r="194" spans="1:5" x14ac:dyDescent="0.35">
      <c r="C194" s="48"/>
      <c r="E194" s="140"/>
    </row>
    <row r="195" spans="1:5" ht="16" x14ac:dyDescent="0.4">
      <c r="A195" s="108" t="str">
        <f>"Total sur 3 ans ("&amp;Currency&amp;")"</f>
        <v>Total sur 3 ans ()</v>
      </c>
      <c r="B195" s="109"/>
      <c r="C195" s="135"/>
      <c r="D195" s="135"/>
      <c r="E195" s="136">
        <f>SUM(E191:E193)</f>
        <v>0</v>
      </c>
    </row>
    <row r="197" spans="1:5" x14ac:dyDescent="0.35">
      <c r="A197" s="163" t="s">
        <v>550</v>
      </c>
    </row>
    <row r="198" spans="1:5" s="25" customFormat="1" ht="29" x14ac:dyDescent="0.35">
      <c r="A198" s="58" t="s">
        <v>537</v>
      </c>
      <c r="B198" s="58" t="s">
        <v>538</v>
      </c>
      <c r="C198" s="58" t="s">
        <v>592</v>
      </c>
      <c r="D198" s="57" t="str">
        <f>"Coût au débarquement par boîte ("&amp;Currency&amp;")"</f>
        <v>Coût au débarquement par boîte ()</v>
      </c>
      <c r="E198" s="57" t="str">
        <f>"Coût total ("&amp;Currency&amp;")"</f>
        <v>Coût total ()</v>
      </c>
    </row>
    <row r="199" spans="1:5" x14ac:dyDescent="0.35">
      <c r="A199" s="13" t="str">
        <f>IF(TripleTest_Freq="trimestriel","T1","")</f>
        <v/>
      </c>
      <c r="B199" s="13" t="str">
        <f>IF(TripleTest_Freq="trimestriel",1,"")</f>
        <v/>
      </c>
      <c r="C199" s="14" t="str">
        <f>IF(TripleTest_Freq="trimestriel",Quantification!L152,"")</f>
        <v/>
      </c>
      <c r="D199" s="13" t="str">
        <f t="shared" ref="D199:D210" si="16">IF(TripleTest_Freq="trimestriel",TripleTest_LandedCostPerPack,"")</f>
        <v/>
      </c>
      <c r="E199" s="70" t="str">
        <f t="shared" ref="E199:E210" si="17">IF(TripleTest_Freq="trimestriel",C199*D199,"")</f>
        <v/>
      </c>
    </row>
    <row r="200" spans="1:5" x14ac:dyDescent="0.35">
      <c r="A200" s="13" t="str">
        <f>IF(TripleTest_Freq="trimestriel","T2","")</f>
        <v/>
      </c>
      <c r="B200" s="13" t="str">
        <f>IF(TripleTest_Freq="trimestriel",1,"")</f>
        <v/>
      </c>
      <c r="C200" s="14" t="str">
        <f>IF(TripleTest_Freq="trimestriel",Quantification!L153,"")</f>
        <v/>
      </c>
      <c r="D200" s="13" t="str">
        <f t="shared" si="16"/>
        <v/>
      </c>
      <c r="E200" s="70" t="str">
        <f t="shared" si="17"/>
        <v/>
      </c>
    </row>
    <row r="201" spans="1:5" x14ac:dyDescent="0.35">
      <c r="A201" s="13" t="str">
        <f>IF(TripleTest_Freq="trimestriel","T3","")</f>
        <v/>
      </c>
      <c r="B201" s="13" t="str">
        <f>IF(TripleTest_Freq="trimestriel",1,"")</f>
        <v/>
      </c>
      <c r="C201" s="14" t="str">
        <f>IF(TripleTest_Freq="trimestriel",Quantification!L154,"")</f>
        <v/>
      </c>
      <c r="D201" s="13" t="str">
        <f t="shared" si="16"/>
        <v/>
      </c>
      <c r="E201" s="70" t="str">
        <f t="shared" si="17"/>
        <v/>
      </c>
    </row>
    <row r="202" spans="1:5" x14ac:dyDescent="0.35">
      <c r="A202" s="13" t="str">
        <f>IF(TripleTest_Freq="trimestriel","T4","")</f>
        <v/>
      </c>
      <c r="B202" s="13" t="str">
        <f>IF(TripleTest_Freq="trimestriel",1,"")</f>
        <v/>
      </c>
      <c r="C202" s="14" t="str">
        <f>IF(TripleTest_Freq="trimestriel",Quantification!L155,"")</f>
        <v/>
      </c>
      <c r="D202" s="13" t="str">
        <f t="shared" si="16"/>
        <v/>
      </c>
      <c r="E202" s="70" t="str">
        <f t="shared" si="17"/>
        <v/>
      </c>
    </row>
    <row r="203" spans="1:5" x14ac:dyDescent="0.35">
      <c r="A203" s="13" t="str">
        <f>IF(TripleTest_Freq="trimestriel","T1","")</f>
        <v/>
      </c>
      <c r="B203" s="13" t="str">
        <f>IF(TripleTest_Freq="trimestriel",2,"")</f>
        <v/>
      </c>
      <c r="C203" s="14" t="str">
        <f>IF(TripleTest_Freq="trimestriel",Quantification!L156,"")</f>
        <v/>
      </c>
      <c r="D203" s="13" t="str">
        <f t="shared" si="16"/>
        <v/>
      </c>
      <c r="E203" s="70" t="str">
        <f t="shared" si="17"/>
        <v/>
      </c>
    </row>
    <row r="204" spans="1:5" x14ac:dyDescent="0.35">
      <c r="A204" s="13" t="str">
        <f>IF(TripleTest_Freq="trimestriel","T2","")</f>
        <v/>
      </c>
      <c r="B204" s="13" t="str">
        <f>IF(TripleTest_Freq="trimestriel",2,"")</f>
        <v/>
      </c>
      <c r="C204" s="14" t="str">
        <f>IF(TripleTest_Freq="trimestriel",Quantification!L157,"")</f>
        <v/>
      </c>
      <c r="D204" s="13" t="str">
        <f t="shared" si="16"/>
        <v/>
      </c>
      <c r="E204" s="70" t="str">
        <f t="shared" si="17"/>
        <v/>
      </c>
    </row>
    <row r="205" spans="1:5" x14ac:dyDescent="0.35">
      <c r="A205" s="13" t="str">
        <f>IF(TripleTest_Freq="trimestriel","T3","")</f>
        <v/>
      </c>
      <c r="B205" s="13" t="str">
        <f>IF(TripleTest_Freq="trimestriel",2,"")</f>
        <v/>
      </c>
      <c r="C205" s="14" t="str">
        <f>IF(TripleTest_Freq="trimestriel",Quantification!L158,"")</f>
        <v/>
      </c>
      <c r="D205" s="13" t="str">
        <f t="shared" si="16"/>
        <v/>
      </c>
      <c r="E205" s="70" t="str">
        <f t="shared" si="17"/>
        <v/>
      </c>
    </row>
    <row r="206" spans="1:5" x14ac:dyDescent="0.35">
      <c r="A206" s="13" t="str">
        <f>IF(TripleTest_Freq="trimestriel","T4","")</f>
        <v/>
      </c>
      <c r="B206" s="13" t="str">
        <f>IF(TripleTest_Freq="trimestriel",2,"")</f>
        <v/>
      </c>
      <c r="C206" s="14" t="str">
        <f>IF(TripleTest_Freq="trimestriel",Quantification!L159,"")</f>
        <v/>
      </c>
      <c r="D206" s="13" t="str">
        <f t="shared" si="16"/>
        <v/>
      </c>
      <c r="E206" s="70" t="str">
        <f t="shared" si="17"/>
        <v/>
      </c>
    </row>
    <row r="207" spans="1:5" x14ac:dyDescent="0.35">
      <c r="A207" s="13" t="str">
        <f>IF(TripleTest_Freq="trimestriel","T1","")</f>
        <v/>
      </c>
      <c r="B207" s="13" t="str">
        <f>IF(TripleTest_Freq="trimestriel",3,"")</f>
        <v/>
      </c>
      <c r="C207" s="14" t="str">
        <f>IF(TripleTest_Freq="trimestriel",Quantification!L160,"")</f>
        <v/>
      </c>
      <c r="D207" s="13" t="str">
        <f t="shared" si="16"/>
        <v/>
      </c>
      <c r="E207" s="70" t="str">
        <f t="shared" si="17"/>
        <v/>
      </c>
    </row>
    <row r="208" spans="1:5" x14ac:dyDescent="0.35">
      <c r="A208" s="13" t="str">
        <f>IF(TripleTest_Freq="trimestriel","T2","")</f>
        <v/>
      </c>
      <c r="B208" s="13" t="str">
        <f>IF(TripleTest_Freq="trimestriel",3,"")</f>
        <v/>
      </c>
      <c r="C208" s="14" t="str">
        <f>IF(TripleTest_Freq="trimestriel",Quantification!L161,"")</f>
        <v/>
      </c>
      <c r="D208" s="13" t="str">
        <f t="shared" si="16"/>
        <v/>
      </c>
      <c r="E208" s="70" t="str">
        <f t="shared" si="17"/>
        <v/>
      </c>
    </row>
    <row r="209" spans="1:7" x14ac:dyDescent="0.35">
      <c r="A209" s="13" t="str">
        <f>IF(TripleTest_Freq="trimestriel","T3","")</f>
        <v/>
      </c>
      <c r="B209" s="13" t="str">
        <f>IF(TripleTest_Freq="trimestriel",3,"")</f>
        <v/>
      </c>
      <c r="C209" s="14" t="str">
        <f>IF(TripleTest_Freq="trimestriel",Quantification!L162,"")</f>
        <v/>
      </c>
      <c r="D209" s="13" t="str">
        <f t="shared" si="16"/>
        <v/>
      </c>
      <c r="E209" s="70" t="str">
        <f t="shared" si="17"/>
        <v/>
      </c>
    </row>
    <row r="210" spans="1:7" x14ac:dyDescent="0.35">
      <c r="A210" s="13" t="str">
        <f>IF(TripleTest_Freq="trimestriel","T4","")</f>
        <v/>
      </c>
      <c r="B210" s="13" t="str">
        <f>IF(TripleTest_Freq="trimestriel",3,"")</f>
        <v/>
      </c>
      <c r="C210" s="14" t="str">
        <f>IF(TripleTest_Freq="trimestriel",Quantification!L163,"")</f>
        <v/>
      </c>
      <c r="D210" s="13" t="str">
        <f t="shared" si="16"/>
        <v/>
      </c>
      <c r="E210" s="70" t="str">
        <f t="shared" si="17"/>
        <v/>
      </c>
    </row>
    <row r="212" spans="1:7" x14ac:dyDescent="0.35">
      <c r="A212" s="24" t="str">
        <f>"Total Année 1 ("&amp;Currency&amp;")"</f>
        <v>Total Année 1 ()</v>
      </c>
      <c r="B212" s="105"/>
      <c r="C212" s="106"/>
      <c r="D212" s="105"/>
      <c r="E212" s="147">
        <f>SUM(E199:E202,E452:E455)</f>
        <v>0</v>
      </c>
    </row>
    <row r="213" spans="1:7" x14ac:dyDescent="0.35">
      <c r="A213" s="24" t="str">
        <f>"Total Année 2 ("&amp;Currency&amp;")"</f>
        <v>Total Année 2 ()</v>
      </c>
      <c r="B213" s="105"/>
      <c r="C213" s="106"/>
      <c r="D213" s="105"/>
      <c r="E213" s="147">
        <f>SUM(E203:E206,E456:E459)</f>
        <v>0</v>
      </c>
    </row>
    <row r="214" spans="1:7" x14ac:dyDescent="0.35">
      <c r="A214" s="24" t="str">
        <f>"Total Année 3 ("&amp;Currency&amp;")"</f>
        <v>Total Année 3 ()</v>
      </c>
      <c r="B214" s="105"/>
      <c r="C214" s="106"/>
      <c r="D214" s="105"/>
      <c r="E214" s="147">
        <f>SUM(E207:E210,E460:E463)</f>
        <v>0</v>
      </c>
    </row>
    <row r="215" spans="1:7" x14ac:dyDescent="0.35">
      <c r="C215" s="48"/>
      <c r="E215" s="140"/>
    </row>
    <row r="216" spans="1:7" ht="16" x14ac:dyDescent="0.4">
      <c r="A216" s="108" t="str">
        <f>"Total sur 3 ans ("&amp;Currency&amp;")"</f>
        <v>Total sur 3 ans ()</v>
      </c>
      <c r="B216" s="109"/>
      <c r="C216" s="135"/>
      <c r="D216" s="135"/>
      <c r="E216" s="136">
        <f>SUM(E212:E214)</f>
        <v>0</v>
      </c>
    </row>
    <row r="217" spans="1:7" ht="15" thickBot="1" x14ac:dyDescent="0.4"/>
    <row r="218" spans="1:7" ht="16.5" thickBot="1" x14ac:dyDescent="0.45">
      <c r="A218" s="374" t="s">
        <v>601</v>
      </c>
      <c r="B218" s="375"/>
      <c r="C218" s="375"/>
      <c r="D218" s="375"/>
      <c r="E218" s="375"/>
      <c r="F218" s="375"/>
      <c r="G218" s="376"/>
    </row>
    <row r="220" spans="1:7" x14ac:dyDescent="0.35">
      <c r="A220" s="163" t="s">
        <v>536</v>
      </c>
    </row>
    <row r="221" spans="1:7" s="25" customFormat="1" ht="29" x14ac:dyDescent="0.35">
      <c r="A221" s="58" t="s">
        <v>537</v>
      </c>
      <c r="B221" s="58" t="s">
        <v>538</v>
      </c>
      <c r="C221" s="58" t="s">
        <v>592</v>
      </c>
      <c r="D221" s="57" t="str">
        <f>"Coût au débarquement par boîte ("&amp;Currency&amp;")"</f>
        <v>Coût au débarquement par boîte ()</v>
      </c>
      <c r="E221" s="57" t="str">
        <f>"Coût total ("&amp;Currency&amp;")"</f>
        <v>Coût total ()</v>
      </c>
    </row>
    <row r="222" spans="1:7" x14ac:dyDescent="0.35">
      <c r="A222" s="13" t="str">
        <f>IF(BPG_Freq="Annuel","Année 1","")</f>
        <v/>
      </c>
      <c r="B222" s="13" t="str">
        <f>IF(BPG_Freq="Annuel",1,"")</f>
        <v/>
      </c>
      <c r="C222" s="14" t="str">
        <f>IF(BPG_Freq="Annuel",Y1_BPG_Packs,"")</f>
        <v/>
      </c>
      <c r="D222" s="13" t="str">
        <f>IF(BPG_Freq="Annuel",BPG_LandedCostPerPack,"")</f>
        <v/>
      </c>
      <c r="E222" s="70" t="str">
        <f>IF(BPG_Freq="Annuel",C222*D222,"")</f>
        <v/>
      </c>
    </row>
    <row r="223" spans="1:7" x14ac:dyDescent="0.35">
      <c r="A223" s="13" t="str">
        <f>IF(BPG_Freq="Annuel","Année 2","")</f>
        <v/>
      </c>
      <c r="B223" s="13" t="str">
        <f>IF(BPG_Freq="Annuel",2,"")</f>
        <v/>
      </c>
      <c r="C223" s="14" t="str">
        <f>IF(BPG_Freq="Annuel",Y2_BPG_Packs,"")</f>
        <v/>
      </c>
      <c r="D223" s="13" t="str">
        <f>IF(BPG_Freq="Annuel",BPG_LandedCostPerPack,"")</f>
        <v/>
      </c>
      <c r="E223" s="70" t="str">
        <f>IF(BPG_Freq="Annuel",C223*D223,"")</f>
        <v/>
      </c>
    </row>
    <row r="224" spans="1:7" x14ac:dyDescent="0.35">
      <c r="A224" s="13" t="str">
        <f>IF(BPG_Freq="Annuel","Année 3","")</f>
        <v/>
      </c>
      <c r="B224" s="13" t="str">
        <f>IF(BPG_Freq="Annuel",3,"")</f>
        <v/>
      </c>
      <c r="C224" s="14" t="str">
        <f>IF(BPG_Freq="Annuel",Y3_BPG_Packs,"")</f>
        <v/>
      </c>
      <c r="D224" s="13" t="str">
        <f>IF(BPG_Freq="Annuel",BPG_LandedCostPerPack,"")</f>
        <v/>
      </c>
      <c r="E224" s="70" t="str">
        <f>IF(BPG_Freq="Annuel",C224*D224,"")</f>
        <v/>
      </c>
    </row>
    <row r="225" spans="1:5" x14ac:dyDescent="0.35">
      <c r="E225" s="140"/>
    </row>
    <row r="226" spans="1:5" x14ac:dyDescent="0.35">
      <c r="A226" s="24" t="str">
        <f>"Total Année 1 ("&amp;Currency&amp;")"</f>
        <v>Total Année 1 ()</v>
      </c>
      <c r="B226" s="105"/>
      <c r="C226" s="105"/>
      <c r="D226" s="105"/>
      <c r="E226" s="147">
        <f>SUM(E222)</f>
        <v>0</v>
      </c>
    </row>
    <row r="227" spans="1:5" x14ac:dyDescent="0.35">
      <c r="A227" s="24" t="str">
        <f>"Total Année 2 ("&amp;Currency&amp;")"</f>
        <v>Total Année 2 ()</v>
      </c>
      <c r="B227" s="105"/>
      <c r="C227" s="105"/>
      <c r="D227" s="105"/>
      <c r="E227" s="147">
        <f>SUM(E223)</f>
        <v>0</v>
      </c>
    </row>
    <row r="228" spans="1:5" x14ac:dyDescent="0.35">
      <c r="A228" s="24" t="str">
        <f>"Total Année 3 ("&amp;Currency&amp;")"</f>
        <v>Total Année 3 ()</v>
      </c>
      <c r="B228" s="105"/>
      <c r="C228" s="105"/>
      <c r="D228" s="105"/>
      <c r="E228" s="147">
        <f>SUM(E224)</f>
        <v>0</v>
      </c>
    </row>
    <row r="230" spans="1:5" ht="16" x14ac:dyDescent="0.4">
      <c r="A230" s="108" t="str">
        <f>"Total sur 3 ans ("&amp;Currency&amp;")"</f>
        <v>Total sur 3 ans ()</v>
      </c>
      <c r="B230" s="109"/>
      <c r="C230" s="109"/>
      <c r="D230" s="135"/>
      <c r="E230" s="136">
        <f>SUM(E226:E228)</f>
        <v>0</v>
      </c>
    </row>
    <row r="232" spans="1:5" x14ac:dyDescent="0.35">
      <c r="A232" s="163" t="s">
        <v>549</v>
      </c>
    </row>
    <row r="233" spans="1:5" s="25" customFormat="1" ht="29" x14ac:dyDescent="0.35">
      <c r="A233" s="58" t="s">
        <v>537</v>
      </c>
      <c r="B233" s="58" t="s">
        <v>538</v>
      </c>
      <c r="C233" s="58" t="s">
        <v>592</v>
      </c>
      <c r="D233" s="57" t="str">
        <f>"Coût au débarquement par boîte ("&amp;Currency&amp;")"</f>
        <v>Coût au débarquement par boîte ()</v>
      </c>
      <c r="E233" s="57" t="str">
        <f>"Coût total ("&amp;Currency&amp;")"</f>
        <v>Coût total ()</v>
      </c>
    </row>
    <row r="234" spans="1:5" x14ac:dyDescent="0.35">
      <c r="A234" s="13" t="str">
        <f>IF(BPG_Freq="semestriel","S1","")</f>
        <v/>
      </c>
      <c r="B234" s="13" t="str">
        <f>IF(BPG_Freq="semestriel",1,"")</f>
        <v/>
      </c>
      <c r="C234" s="14" t="str">
        <f>IF(BPG_Freq="semestriel",Quantification!L188,"")</f>
        <v/>
      </c>
      <c r="D234" s="13" t="str">
        <f t="shared" ref="D234:D239" si="18">IF(BPG_Freq="semestriel",BPG_LandedCostPerPack,"")</f>
        <v/>
      </c>
      <c r="E234" s="70" t="str">
        <f t="shared" ref="E234:E239" si="19">IF(BPG_Freq="semestriel",C234*D234,"")</f>
        <v/>
      </c>
    </row>
    <row r="235" spans="1:5" x14ac:dyDescent="0.35">
      <c r="A235" s="13" t="str">
        <f>IF(BPG_Freq="semestriel","S2","")</f>
        <v/>
      </c>
      <c r="B235" s="13" t="str">
        <f>IF(BPG_Freq="semestriel",1,"")</f>
        <v/>
      </c>
      <c r="C235" s="14" t="str">
        <f>IF(BPG_Freq="semestriel",Quantification!L189,"")</f>
        <v/>
      </c>
      <c r="D235" s="13" t="str">
        <f t="shared" si="18"/>
        <v/>
      </c>
      <c r="E235" s="70" t="str">
        <f t="shared" si="19"/>
        <v/>
      </c>
    </row>
    <row r="236" spans="1:5" x14ac:dyDescent="0.35">
      <c r="A236" s="13" t="str">
        <f>IF(BPG_Freq="semestriel","S1","")</f>
        <v/>
      </c>
      <c r="B236" s="13" t="str">
        <f>IF(BPG_Freq="semestriel",2,"")</f>
        <v/>
      </c>
      <c r="C236" s="14" t="str">
        <f>IF(BPG_Freq="semestriel",Quantification!L190,"")</f>
        <v/>
      </c>
      <c r="D236" s="13" t="str">
        <f t="shared" si="18"/>
        <v/>
      </c>
      <c r="E236" s="70" t="str">
        <f t="shared" si="19"/>
        <v/>
      </c>
    </row>
    <row r="237" spans="1:5" x14ac:dyDescent="0.35">
      <c r="A237" s="13" t="str">
        <f>IF(BPG_Freq="semestriel","S2","")</f>
        <v/>
      </c>
      <c r="B237" s="13" t="str">
        <f>IF(BPG_Freq="semestriel",2,"")</f>
        <v/>
      </c>
      <c r="C237" s="14" t="str">
        <f>IF(BPG_Freq="semestriel",Quantification!L191,"")</f>
        <v/>
      </c>
      <c r="D237" s="13" t="str">
        <f t="shared" si="18"/>
        <v/>
      </c>
      <c r="E237" s="70" t="str">
        <f t="shared" si="19"/>
        <v/>
      </c>
    </row>
    <row r="238" spans="1:5" x14ac:dyDescent="0.35">
      <c r="A238" s="13" t="str">
        <f>IF(BPG_Freq="semestriel","S1","")</f>
        <v/>
      </c>
      <c r="B238" s="13" t="str">
        <f>IF(BPG_Freq="semestriel",3,"")</f>
        <v/>
      </c>
      <c r="C238" s="14" t="str">
        <f>IF(BPG_Freq="semestriel",Quantification!L192,"")</f>
        <v/>
      </c>
      <c r="D238" s="13" t="str">
        <f t="shared" si="18"/>
        <v/>
      </c>
      <c r="E238" s="70" t="str">
        <f t="shared" si="19"/>
        <v/>
      </c>
    </row>
    <row r="239" spans="1:5" x14ac:dyDescent="0.35">
      <c r="A239" s="13" t="str">
        <f>IF(BPG_Freq="semestriel","S2","")</f>
        <v/>
      </c>
      <c r="B239" s="13" t="str">
        <f>IF(BPG_Freq="semestriel",3,"")</f>
        <v/>
      </c>
      <c r="C239" s="14" t="str">
        <f>IF(BPG_Freq="semestriel",Quantification!L193,"")</f>
        <v/>
      </c>
      <c r="D239" s="13" t="str">
        <f t="shared" si="18"/>
        <v/>
      </c>
      <c r="E239" s="70" t="str">
        <f t="shared" si="19"/>
        <v/>
      </c>
    </row>
    <row r="240" spans="1:5" x14ac:dyDescent="0.35">
      <c r="C240" s="48"/>
      <c r="E240" s="140"/>
    </row>
    <row r="241" spans="1:5" x14ac:dyDescent="0.35">
      <c r="A241" s="24" t="str">
        <f>"Total Année 1 ("&amp;Currency&amp;")"</f>
        <v>Total Année 1 ()</v>
      </c>
      <c r="B241" s="105"/>
      <c r="C241" s="106"/>
      <c r="D241" s="105"/>
      <c r="E241" s="147">
        <f>SUM(E234:E235)</f>
        <v>0</v>
      </c>
    </row>
    <row r="242" spans="1:5" x14ac:dyDescent="0.35">
      <c r="A242" s="24" t="str">
        <f>"Total Année 2 ("&amp;Currency&amp;")"</f>
        <v>Total Année 2 ()</v>
      </c>
      <c r="B242" s="105"/>
      <c r="C242" s="106"/>
      <c r="D242" s="105"/>
      <c r="E242" s="147">
        <f>SUM(E236:E237)</f>
        <v>0</v>
      </c>
    </row>
    <row r="243" spans="1:5" x14ac:dyDescent="0.35">
      <c r="A243" s="24" t="str">
        <f>"Total Année 3 ("&amp;Currency&amp;")"</f>
        <v>Total Année 3 ()</v>
      </c>
      <c r="B243" s="105"/>
      <c r="C243" s="106"/>
      <c r="D243" s="105"/>
      <c r="E243" s="147">
        <f>SUM(E238:E239)</f>
        <v>0</v>
      </c>
    </row>
    <row r="244" spans="1:5" x14ac:dyDescent="0.35">
      <c r="C244" s="48"/>
      <c r="E244" s="140"/>
    </row>
    <row r="245" spans="1:5" ht="16" x14ac:dyDescent="0.4">
      <c r="A245" s="108" t="str">
        <f>"Total sur 3 ans ("&amp;Currency&amp;")"</f>
        <v>Total sur 3 ans ()</v>
      </c>
      <c r="B245" s="109"/>
      <c r="C245" s="135"/>
      <c r="D245" s="135"/>
      <c r="E245" s="136">
        <f>SUM(E241:E243)</f>
        <v>0</v>
      </c>
    </row>
    <row r="247" spans="1:5" x14ac:dyDescent="0.35">
      <c r="A247" s="163" t="s">
        <v>596</v>
      </c>
    </row>
    <row r="248" spans="1:5" s="25" customFormat="1" ht="29" x14ac:dyDescent="0.35">
      <c r="A248" s="58" t="s">
        <v>537</v>
      </c>
      <c r="B248" s="58" t="s">
        <v>538</v>
      </c>
      <c r="C248" s="58" t="s">
        <v>592</v>
      </c>
      <c r="D248" s="57" t="str">
        <f>"Coût au débarquement par boîte ("&amp;Currency&amp;")"</f>
        <v>Coût au débarquement par boîte ()</v>
      </c>
      <c r="E248" s="57" t="str">
        <f>"Coût total ("&amp;Currency&amp;")"</f>
        <v>Coût total ()</v>
      </c>
    </row>
    <row r="249" spans="1:5" x14ac:dyDescent="0.35">
      <c r="A249" s="13" t="str">
        <f>IF(BPG_Freq="trimestriel","T1","")</f>
        <v/>
      </c>
      <c r="B249" s="13" t="str">
        <f>IF(BPG_Freq="trimestriel",1,"")</f>
        <v/>
      </c>
      <c r="C249" s="14" t="str">
        <f>IF(BPG_Freq="trimestriel",Quantification!L203,"")</f>
        <v/>
      </c>
      <c r="D249" s="13" t="str">
        <f t="shared" ref="D249:D260" si="20">IF(BPG_Freq="trimestriel",BPG_LandedCostPerPack,"")</f>
        <v/>
      </c>
      <c r="E249" s="70" t="str">
        <f t="shared" ref="E249:E260" si="21">IF(BPG_Freq="trimestriel",C249*D249,"")</f>
        <v/>
      </c>
    </row>
    <row r="250" spans="1:5" x14ac:dyDescent="0.35">
      <c r="A250" s="13" t="str">
        <f>IF(BPG_Freq="trimestriel","T2","")</f>
        <v/>
      </c>
      <c r="B250" s="13" t="str">
        <f>IF(BPG_Freq="trimestriel",1,"")</f>
        <v/>
      </c>
      <c r="C250" s="14" t="str">
        <f>IF(BPG_Freq="trimestriel",Quantification!L204,"")</f>
        <v/>
      </c>
      <c r="D250" s="13" t="str">
        <f t="shared" si="20"/>
        <v/>
      </c>
      <c r="E250" s="70" t="str">
        <f t="shared" si="21"/>
        <v/>
      </c>
    </row>
    <row r="251" spans="1:5" x14ac:dyDescent="0.35">
      <c r="A251" s="13" t="str">
        <f>IF(BPG_Freq="trimestriel","T3","")</f>
        <v/>
      </c>
      <c r="B251" s="13" t="str">
        <f>IF(BPG_Freq="trimestriel",1,"")</f>
        <v/>
      </c>
      <c r="C251" s="14" t="str">
        <f>IF(BPG_Freq="trimestriel",Quantification!L205,"")</f>
        <v/>
      </c>
      <c r="D251" s="13" t="str">
        <f t="shared" si="20"/>
        <v/>
      </c>
      <c r="E251" s="70" t="str">
        <f t="shared" si="21"/>
        <v/>
      </c>
    </row>
    <row r="252" spans="1:5" x14ac:dyDescent="0.35">
      <c r="A252" s="13" t="str">
        <f>IF(BPG_Freq="trimestriel","T4","")</f>
        <v/>
      </c>
      <c r="B252" s="13" t="str">
        <f>IF(BPG_Freq="trimestriel",1,"")</f>
        <v/>
      </c>
      <c r="C252" s="14" t="str">
        <f>IF(BPG_Freq="trimestriel",Quantification!L206,"")</f>
        <v/>
      </c>
      <c r="D252" s="13" t="str">
        <f t="shared" si="20"/>
        <v/>
      </c>
      <c r="E252" s="70" t="str">
        <f t="shared" si="21"/>
        <v/>
      </c>
    </row>
    <row r="253" spans="1:5" x14ac:dyDescent="0.35">
      <c r="A253" s="13" t="str">
        <f>IF(BPG_Freq="trimestriel","T1","")</f>
        <v/>
      </c>
      <c r="B253" s="13" t="str">
        <f>IF(BPG_Freq="trimestriel",2,"")</f>
        <v/>
      </c>
      <c r="C253" s="14" t="str">
        <f>IF(BPG_Freq="trimestriel",Quantification!L207,"")</f>
        <v/>
      </c>
      <c r="D253" s="13" t="str">
        <f t="shared" si="20"/>
        <v/>
      </c>
      <c r="E253" s="70" t="str">
        <f t="shared" si="21"/>
        <v/>
      </c>
    </row>
    <row r="254" spans="1:5" x14ac:dyDescent="0.35">
      <c r="A254" s="13" t="str">
        <f>IF(BPG_Freq="trimestriel","T2","")</f>
        <v/>
      </c>
      <c r="B254" s="13" t="str">
        <f>IF(BPG_Freq="trimestriel",2,"")</f>
        <v/>
      </c>
      <c r="C254" s="14" t="str">
        <f>IF(BPG_Freq="trimestriel",Quantification!L208,"")</f>
        <v/>
      </c>
      <c r="D254" s="13" t="str">
        <f t="shared" si="20"/>
        <v/>
      </c>
      <c r="E254" s="70" t="str">
        <f t="shared" si="21"/>
        <v/>
      </c>
    </row>
    <row r="255" spans="1:5" x14ac:dyDescent="0.35">
      <c r="A255" s="13" t="str">
        <f>IF(BPG_Freq="trimestriel","T3","")</f>
        <v/>
      </c>
      <c r="B255" s="13" t="str">
        <f>IF(BPG_Freq="trimestriel",2,"")</f>
        <v/>
      </c>
      <c r="C255" s="14" t="str">
        <f>IF(BPG_Freq="trimestriel",Quantification!L209,"")</f>
        <v/>
      </c>
      <c r="D255" s="13" t="str">
        <f t="shared" si="20"/>
        <v/>
      </c>
      <c r="E255" s="70" t="str">
        <f t="shared" si="21"/>
        <v/>
      </c>
    </row>
    <row r="256" spans="1:5" x14ac:dyDescent="0.35">
      <c r="A256" s="13" t="str">
        <f>IF(BPG_Freq="trimestriel","T4","")</f>
        <v/>
      </c>
      <c r="B256" s="13" t="str">
        <f>IF(BPG_Freq="trimestriel",2,"")</f>
        <v/>
      </c>
      <c r="C256" s="14" t="str">
        <f>IF(BPG_Freq="trimestriel",Quantification!L210,"")</f>
        <v/>
      </c>
      <c r="D256" s="13" t="str">
        <f t="shared" si="20"/>
        <v/>
      </c>
      <c r="E256" s="70" t="str">
        <f t="shared" si="21"/>
        <v/>
      </c>
    </row>
    <row r="257" spans="1:7" x14ac:dyDescent="0.35">
      <c r="A257" s="13" t="str">
        <f>IF(BPG_Freq="trimestriel","T1","")</f>
        <v/>
      </c>
      <c r="B257" s="13" t="str">
        <f>IF(BPG_Freq="trimestriel",3,"")</f>
        <v/>
      </c>
      <c r="C257" s="14" t="str">
        <f>IF(BPG_Freq="trimestriel",Quantification!L211,"")</f>
        <v/>
      </c>
      <c r="D257" s="13" t="str">
        <f t="shared" si="20"/>
        <v/>
      </c>
      <c r="E257" s="70" t="str">
        <f t="shared" si="21"/>
        <v/>
      </c>
    </row>
    <row r="258" spans="1:7" x14ac:dyDescent="0.35">
      <c r="A258" s="13" t="str">
        <f>IF(BPG_Freq="trimestriel","T2","")</f>
        <v/>
      </c>
      <c r="B258" s="13" t="str">
        <f>IF(BPG_Freq="trimestriel",3,"")</f>
        <v/>
      </c>
      <c r="C258" s="14" t="str">
        <f>IF(BPG_Freq="trimestriel",Quantification!L212,"")</f>
        <v/>
      </c>
      <c r="D258" s="13" t="str">
        <f t="shared" si="20"/>
        <v/>
      </c>
      <c r="E258" s="70" t="str">
        <f t="shared" si="21"/>
        <v/>
      </c>
    </row>
    <row r="259" spans="1:7" x14ac:dyDescent="0.35">
      <c r="A259" s="13" t="str">
        <f>IF(BPG_Freq="trimestriel","T3","")</f>
        <v/>
      </c>
      <c r="B259" s="13" t="str">
        <f>IF(BPG_Freq="trimestriel",3,"")</f>
        <v/>
      </c>
      <c r="C259" s="14" t="str">
        <f>IF(BPG_Freq="trimestriel",Quantification!L213,"")</f>
        <v/>
      </c>
      <c r="D259" s="13" t="str">
        <f t="shared" si="20"/>
        <v/>
      </c>
      <c r="E259" s="70" t="str">
        <f t="shared" si="21"/>
        <v/>
      </c>
    </row>
    <row r="260" spans="1:7" x14ac:dyDescent="0.35">
      <c r="A260" s="13" t="str">
        <f>IF(BPG_Freq="trimestriel","T4","")</f>
        <v/>
      </c>
      <c r="B260" s="13" t="str">
        <f>IF(BPG_Freq="trimestriel",3,"")</f>
        <v/>
      </c>
      <c r="C260" s="14" t="str">
        <f>IF(BPG_Freq="trimestriel",Quantification!L214,"")</f>
        <v/>
      </c>
      <c r="D260" s="13" t="str">
        <f t="shared" si="20"/>
        <v/>
      </c>
      <c r="E260" s="70" t="str">
        <f t="shared" si="21"/>
        <v/>
      </c>
    </row>
    <row r="262" spans="1:7" x14ac:dyDescent="0.35">
      <c r="A262" s="24" t="str">
        <f>"Total Année 1 ("&amp;Currency&amp;")"</f>
        <v>Total Année 1 ()</v>
      </c>
      <c r="B262" s="105"/>
      <c r="C262" s="106"/>
      <c r="D262" s="105"/>
      <c r="E262" s="147">
        <f>SUM(E249:E252)</f>
        <v>0</v>
      </c>
    </row>
    <row r="263" spans="1:7" x14ac:dyDescent="0.35">
      <c r="A263" s="24" t="str">
        <f>"Total Année 2 ("&amp;Currency&amp;")"</f>
        <v>Total Année 2 ()</v>
      </c>
      <c r="B263" s="105"/>
      <c r="C263" s="106"/>
      <c r="D263" s="105"/>
      <c r="E263" s="147">
        <f>SUM(E253:E256)</f>
        <v>0</v>
      </c>
    </row>
    <row r="264" spans="1:7" x14ac:dyDescent="0.35">
      <c r="A264" s="24" t="str">
        <f>"Total Année 3 ("&amp;Currency&amp;")"</f>
        <v>Total Année 3 ()</v>
      </c>
      <c r="B264" s="105"/>
      <c r="C264" s="106"/>
      <c r="D264" s="105"/>
      <c r="E264" s="147">
        <f>SUM(E257:E260)</f>
        <v>0</v>
      </c>
    </row>
    <row r="265" spans="1:7" x14ac:dyDescent="0.35">
      <c r="A265" s="2"/>
      <c r="C265" s="48"/>
      <c r="E265" s="237"/>
    </row>
    <row r="266" spans="1:7" ht="16" x14ac:dyDescent="0.4">
      <c r="A266" s="108" t="str">
        <f>"Total sur 3 ans ("&amp;Currency&amp;")"</f>
        <v>Total sur 3 ans ()</v>
      </c>
      <c r="B266" s="109"/>
      <c r="C266" s="135"/>
      <c r="D266" s="135"/>
      <c r="E266" s="136">
        <f>SUM(E262:E264)</f>
        <v>0</v>
      </c>
    </row>
    <row r="267" spans="1:7" ht="16.5" thickBot="1" x14ac:dyDescent="0.45">
      <c r="A267" s="241"/>
      <c r="B267" s="241"/>
      <c r="C267" s="241"/>
      <c r="D267" s="241"/>
      <c r="E267" s="241"/>
      <c r="F267" s="242"/>
    </row>
    <row r="268" spans="1:7" ht="16.5" thickBot="1" x14ac:dyDescent="0.45">
      <c r="A268" s="374" t="s">
        <v>602</v>
      </c>
      <c r="B268" s="375"/>
      <c r="C268" s="375"/>
      <c r="D268" s="375"/>
      <c r="E268" s="375"/>
      <c r="F268" s="375"/>
      <c r="G268" s="376"/>
    </row>
    <row r="270" spans="1:7" x14ac:dyDescent="0.35">
      <c r="A270" s="163" t="s">
        <v>536</v>
      </c>
    </row>
    <row r="271" spans="1:7" s="25" customFormat="1" ht="29" x14ac:dyDescent="0.35">
      <c r="A271" s="58" t="s">
        <v>537</v>
      </c>
      <c r="B271" s="58" t="s">
        <v>538</v>
      </c>
      <c r="C271" s="58" t="s">
        <v>592</v>
      </c>
      <c r="D271" s="57" t="str">
        <f>"Coût au débarquement par boîte ("&amp;Currency&amp;")"</f>
        <v>Coût au débarquement par boîte ()</v>
      </c>
      <c r="E271" s="57" t="str">
        <f>"Coût total ("&amp;Currency&amp;")"</f>
        <v>Coût total ()</v>
      </c>
    </row>
    <row r="272" spans="1:7" x14ac:dyDescent="0.35">
      <c r="A272" s="13" t="str">
        <f>IF(TDF_Freq="Annuel","Année 1","")</f>
        <v/>
      </c>
      <c r="B272" s="13" t="str">
        <f>IF(TDF_Freq="Annuel",1,"")</f>
        <v/>
      </c>
      <c r="C272" s="14" t="str">
        <f>IF(TDF_Freq="Annuel",Y1_TDF_Packs,"")</f>
        <v/>
      </c>
      <c r="D272" s="227" t="str">
        <f>IF(TDF_Freq="Annuel",TDF_LandedCostPerPack,"")</f>
        <v/>
      </c>
      <c r="E272" s="70" t="str">
        <f>IF(TDF_Freq="Annuel",C272*D272,"")</f>
        <v/>
      </c>
    </row>
    <row r="273" spans="1:5" x14ac:dyDescent="0.35">
      <c r="A273" s="13" t="str">
        <f>IF(TDF_Freq="Annuel","Année 2","")</f>
        <v/>
      </c>
      <c r="B273" s="13" t="str">
        <f>IF(TDF_Freq="Annuel",2,"")</f>
        <v/>
      </c>
      <c r="C273" s="14" t="str">
        <f>IF(TDF_Freq="Annuel",Y2_TDF_Packs,"")</f>
        <v/>
      </c>
      <c r="D273" s="227" t="str">
        <f>IF(TDF_Freq="Annuel",TDF_LandedCostPerPack,"")</f>
        <v/>
      </c>
      <c r="E273" s="70" t="str">
        <f>IF(TDF_Freq="Annuel",C273*D273,"")</f>
        <v/>
      </c>
    </row>
    <row r="274" spans="1:5" x14ac:dyDescent="0.35">
      <c r="A274" s="13" t="str">
        <f>IF(TDF_Freq="Annuel","Année 3","")</f>
        <v/>
      </c>
      <c r="B274" s="13" t="str">
        <f>IF(TDF_Freq="Annuel",3,"")</f>
        <v/>
      </c>
      <c r="C274" s="14" t="str">
        <f>IF(TDF_Freq="Annuel",Y3_TDF_Packs,"")</f>
        <v/>
      </c>
      <c r="D274" s="227" t="str">
        <f>IF(TDF_Freq="Annuel",TDF_LandedCostPerPack,"")</f>
        <v/>
      </c>
      <c r="E274" s="70" t="str">
        <f>IF(TDF_Freq="Annuel",C274*D274,"")</f>
        <v/>
      </c>
    </row>
    <row r="275" spans="1:5" x14ac:dyDescent="0.35">
      <c r="E275" s="140"/>
    </row>
    <row r="276" spans="1:5" x14ac:dyDescent="0.35">
      <c r="A276" s="24" t="str">
        <f>"Total Année 1 ("&amp;Currency&amp;")"</f>
        <v>Total Année 1 ()</v>
      </c>
      <c r="B276" s="105"/>
      <c r="C276" s="105"/>
      <c r="D276" s="105"/>
      <c r="E276" s="147">
        <f>SUM(E272)</f>
        <v>0</v>
      </c>
    </row>
    <row r="277" spans="1:5" x14ac:dyDescent="0.35">
      <c r="A277" s="24" t="str">
        <f>"Total Année 2 ("&amp;Currency&amp;")"</f>
        <v>Total Année 2 ()</v>
      </c>
      <c r="B277" s="105"/>
      <c r="C277" s="105"/>
      <c r="D277" s="105"/>
      <c r="E277" s="147">
        <f>SUM(E273)</f>
        <v>0</v>
      </c>
    </row>
    <row r="278" spans="1:5" x14ac:dyDescent="0.35">
      <c r="A278" s="24" t="str">
        <f>"Total Année 3 ("&amp;Currency&amp;")"</f>
        <v>Total Année 3 ()</v>
      </c>
      <c r="B278" s="105"/>
      <c r="C278" s="105"/>
      <c r="D278" s="105"/>
      <c r="E278" s="147">
        <f>SUM(E274)</f>
        <v>0</v>
      </c>
    </row>
    <row r="280" spans="1:5" ht="16" x14ac:dyDescent="0.4">
      <c r="A280" s="108" t="str">
        <f>"Total sur 3 ans ("&amp;Currency&amp;")"</f>
        <v>Total sur 3 ans ()</v>
      </c>
      <c r="B280" s="109"/>
      <c r="C280" s="109"/>
      <c r="D280" s="135"/>
      <c r="E280" s="136">
        <f>SUM(E276:E278)</f>
        <v>0</v>
      </c>
    </row>
    <row r="282" spans="1:5" x14ac:dyDescent="0.35">
      <c r="A282" s="163" t="s">
        <v>549</v>
      </c>
    </row>
    <row r="283" spans="1:5" s="25" customFormat="1" ht="29" x14ac:dyDescent="0.35">
      <c r="A283" s="58" t="s">
        <v>537</v>
      </c>
      <c r="B283" s="58" t="s">
        <v>538</v>
      </c>
      <c r="C283" s="58" t="s">
        <v>592</v>
      </c>
      <c r="D283" s="57" t="str">
        <f>"Coût au débarquement par boîte ("&amp;Currency&amp;")"</f>
        <v>Coût au débarquement par boîte ()</v>
      </c>
      <c r="E283" s="57" t="str">
        <f>"Coût total ("&amp;Currency&amp;")"</f>
        <v>Coût total ()</v>
      </c>
    </row>
    <row r="284" spans="1:5" x14ac:dyDescent="0.35">
      <c r="A284" s="13" t="str">
        <f>IF(TDF_Freq="semestriel","S1","")</f>
        <v/>
      </c>
      <c r="B284" s="13" t="str">
        <f>IF(TDF_Freq="semestriel",1,"")</f>
        <v/>
      </c>
      <c r="C284" s="14" t="str">
        <f>IF(TDF_Freq="semestriel",Quantification!M239,"")</f>
        <v/>
      </c>
      <c r="D284" s="227" t="str">
        <f t="shared" ref="D284:D289" si="22">IF(TDF_Freq="semestriel",TDF_LandedCostPerPack,"")</f>
        <v/>
      </c>
      <c r="E284" s="70" t="str">
        <f t="shared" ref="E284:E289" si="23">IF(TDF_Freq="semestriel",C284*D284,"")</f>
        <v/>
      </c>
    </row>
    <row r="285" spans="1:5" x14ac:dyDescent="0.35">
      <c r="A285" s="13" t="str">
        <f>IF(TDF_Freq="semestriel","S2","")</f>
        <v/>
      </c>
      <c r="B285" s="13" t="str">
        <f>IF(TDF_Freq="semestriel",1,"")</f>
        <v/>
      </c>
      <c r="C285" s="14" t="str">
        <f>IF(TDF_Freq="semestriel",Quantification!M240,"")</f>
        <v/>
      </c>
      <c r="D285" s="227" t="str">
        <f t="shared" si="22"/>
        <v/>
      </c>
      <c r="E285" s="70" t="str">
        <f t="shared" si="23"/>
        <v/>
      </c>
    </row>
    <row r="286" spans="1:5" x14ac:dyDescent="0.35">
      <c r="A286" s="13" t="str">
        <f>IF(TDF_Freq="semestriel","S1","")</f>
        <v/>
      </c>
      <c r="B286" s="13" t="str">
        <f>IF(TDF_Freq="semestriel",2,"")</f>
        <v/>
      </c>
      <c r="C286" s="14" t="str">
        <f>IF(TDF_Freq="semestriel",Quantification!M241,"")</f>
        <v/>
      </c>
      <c r="D286" s="227" t="str">
        <f t="shared" si="22"/>
        <v/>
      </c>
      <c r="E286" s="70" t="str">
        <f t="shared" si="23"/>
        <v/>
      </c>
    </row>
    <row r="287" spans="1:5" x14ac:dyDescent="0.35">
      <c r="A287" s="13" t="str">
        <f>IF(TDF_Freq="semestriel","S2","")</f>
        <v/>
      </c>
      <c r="B287" s="13" t="str">
        <f>IF(TDF_Freq="semestriel",2,"")</f>
        <v/>
      </c>
      <c r="C287" s="14" t="str">
        <f>IF(TDF_Freq="semestriel",Quantification!M242,"")</f>
        <v/>
      </c>
      <c r="D287" s="227" t="str">
        <f t="shared" si="22"/>
        <v/>
      </c>
      <c r="E287" s="70" t="str">
        <f t="shared" si="23"/>
        <v/>
      </c>
    </row>
    <row r="288" spans="1:5" x14ac:dyDescent="0.35">
      <c r="A288" s="13" t="str">
        <f>IF(TDF_Freq="semestriel","S1","")</f>
        <v/>
      </c>
      <c r="B288" s="13" t="str">
        <f>IF(TDF_Freq="semestriel",3,"")</f>
        <v/>
      </c>
      <c r="C288" s="14" t="str">
        <f>IF(TDF_Freq="semestriel",Quantification!M243,"")</f>
        <v/>
      </c>
      <c r="D288" s="227" t="str">
        <f t="shared" si="22"/>
        <v/>
      </c>
      <c r="E288" s="70" t="str">
        <f t="shared" si="23"/>
        <v/>
      </c>
    </row>
    <row r="289" spans="1:5" x14ac:dyDescent="0.35">
      <c r="A289" s="13" t="str">
        <f>IF(TDF_Freq="semestriel","S2","")</f>
        <v/>
      </c>
      <c r="B289" s="13" t="str">
        <f>IF(TDF_Freq="semestriel",3,"")</f>
        <v/>
      </c>
      <c r="C289" s="14" t="str">
        <f>IF(TDF_Freq="semestriel",Quantification!M244,"")</f>
        <v/>
      </c>
      <c r="D289" s="227" t="str">
        <f t="shared" si="22"/>
        <v/>
      </c>
      <c r="E289" s="70" t="str">
        <f t="shared" si="23"/>
        <v/>
      </c>
    </row>
    <row r="290" spans="1:5" x14ac:dyDescent="0.35">
      <c r="C290" s="48"/>
      <c r="E290" s="140"/>
    </row>
    <row r="291" spans="1:5" x14ac:dyDescent="0.35">
      <c r="A291" s="24" t="str">
        <f>"Total Année 1 ("&amp;Currency&amp;")"</f>
        <v>Total Année 1 ()</v>
      </c>
      <c r="B291" s="105"/>
      <c r="C291" s="106"/>
      <c r="D291" s="105"/>
      <c r="E291" s="147">
        <f>SUM(E284:E285)</f>
        <v>0</v>
      </c>
    </row>
    <row r="292" spans="1:5" x14ac:dyDescent="0.35">
      <c r="A292" s="24" t="str">
        <f>"Total Année 2 ("&amp;Currency&amp;")"</f>
        <v>Total Année 2 ()</v>
      </c>
      <c r="B292" s="105"/>
      <c r="C292" s="106"/>
      <c r="D292" s="105"/>
      <c r="E292" s="147">
        <f>SUM(E286:E287)</f>
        <v>0</v>
      </c>
    </row>
    <row r="293" spans="1:5" x14ac:dyDescent="0.35">
      <c r="A293" s="24" t="str">
        <f>"Total Année 3 ("&amp;Currency&amp;")"</f>
        <v>Total Année 3 ()</v>
      </c>
      <c r="B293" s="105"/>
      <c r="C293" s="106"/>
      <c r="D293" s="105"/>
      <c r="E293" s="147">
        <f>SUM(E288:E289)</f>
        <v>0</v>
      </c>
    </row>
    <row r="294" spans="1:5" x14ac:dyDescent="0.35">
      <c r="C294" s="48"/>
      <c r="E294" s="140"/>
    </row>
    <row r="295" spans="1:5" ht="16" x14ac:dyDescent="0.4">
      <c r="A295" s="108" t="str">
        <f>"Total sur 3 ans ("&amp;Currency&amp;")"</f>
        <v>Total sur 3 ans ()</v>
      </c>
      <c r="B295" s="109"/>
      <c r="C295" s="135"/>
      <c r="D295" s="135"/>
      <c r="E295" s="136">
        <f>SUM(E291:E293)</f>
        <v>0</v>
      </c>
    </row>
    <row r="297" spans="1:5" x14ac:dyDescent="0.35">
      <c r="A297" s="163" t="s">
        <v>596</v>
      </c>
    </row>
    <row r="298" spans="1:5" s="25" customFormat="1" ht="29" x14ac:dyDescent="0.35">
      <c r="A298" s="58" t="s">
        <v>537</v>
      </c>
      <c r="B298" s="58" t="s">
        <v>538</v>
      </c>
      <c r="C298" s="58" t="s">
        <v>592</v>
      </c>
      <c r="D298" s="57" t="str">
        <f>"Coût au débarquement par boîte ("&amp;Currency&amp;")"</f>
        <v>Coût au débarquement par boîte ()</v>
      </c>
      <c r="E298" s="57" t="str">
        <f>"Coût total ("&amp;Currency&amp;")"</f>
        <v>Coût total ()</v>
      </c>
    </row>
    <row r="299" spans="1:5" x14ac:dyDescent="0.35">
      <c r="A299" s="13" t="str">
        <f>IF(TDF_Freq="trimestriel","T1","")</f>
        <v/>
      </c>
      <c r="B299" s="13" t="str">
        <f>IF(TDF_Freq="trimestriel",1,"")</f>
        <v/>
      </c>
      <c r="C299" s="14" t="str">
        <f>IF(TDF_Freq="trimestriel",Quantification!M254,"")</f>
        <v/>
      </c>
      <c r="D299" s="227" t="str">
        <f t="shared" ref="D299:D310" si="24">IF(TDF_Freq="trimestriel",TDF_LandedCostPerPack,"")</f>
        <v/>
      </c>
      <c r="E299" s="70" t="str">
        <f t="shared" ref="E299:E310" si="25">IF(BPG_Freq="trimestriel",C299*D299,"")</f>
        <v/>
      </c>
    </row>
    <row r="300" spans="1:5" x14ac:dyDescent="0.35">
      <c r="A300" s="13" t="str">
        <f>IF(TDF_Freq="trimestriel","T2","")</f>
        <v/>
      </c>
      <c r="B300" s="13" t="str">
        <f>IF(TDF_Freq="trimestriel",1,"")</f>
        <v/>
      </c>
      <c r="C300" s="14" t="str">
        <f>IF(TDF_Freq="trimestriel",Quantification!M255,"")</f>
        <v/>
      </c>
      <c r="D300" s="227" t="str">
        <f t="shared" si="24"/>
        <v/>
      </c>
      <c r="E300" s="70" t="str">
        <f t="shared" si="25"/>
        <v/>
      </c>
    </row>
    <row r="301" spans="1:5" x14ac:dyDescent="0.35">
      <c r="A301" s="13" t="str">
        <f>IF(TDF_Freq="trimestriel","T3","")</f>
        <v/>
      </c>
      <c r="B301" s="13" t="str">
        <f>IF(TDF_Freq="trimestriel",1,"")</f>
        <v/>
      </c>
      <c r="C301" s="14" t="str">
        <f>IF(TDF_Freq="trimestriel",Quantification!M256,"")</f>
        <v/>
      </c>
      <c r="D301" s="227" t="str">
        <f t="shared" si="24"/>
        <v/>
      </c>
      <c r="E301" s="70" t="str">
        <f t="shared" si="25"/>
        <v/>
      </c>
    </row>
    <row r="302" spans="1:5" x14ac:dyDescent="0.35">
      <c r="A302" s="13" t="str">
        <f>IF(TDF_Freq="trimestriel","T4","")</f>
        <v/>
      </c>
      <c r="B302" s="13" t="str">
        <f>IF(TDF_Freq="trimestriel",1,"")</f>
        <v/>
      </c>
      <c r="C302" s="14" t="str">
        <f>IF(TDF_Freq="trimestriel",Quantification!M257,"")</f>
        <v/>
      </c>
      <c r="D302" s="227" t="str">
        <f t="shared" si="24"/>
        <v/>
      </c>
      <c r="E302" s="70" t="str">
        <f t="shared" si="25"/>
        <v/>
      </c>
    </row>
    <row r="303" spans="1:5" x14ac:dyDescent="0.35">
      <c r="A303" s="13" t="str">
        <f>IF(TDF_Freq="trimestriel","T1","")</f>
        <v/>
      </c>
      <c r="B303" s="13" t="str">
        <f>IF(TDF_Freq="trimestriel",2,"")</f>
        <v/>
      </c>
      <c r="C303" s="14" t="str">
        <f>IF(TDF_Freq="trimestriel",Quantification!M258,"")</f>
        <v/>
      </c>
      <c r="D303" s="227" t="str">
        <f t="shared" si="24"/>
        <v/>
      </c>
      <c r="E303" s="70" t="str">
        <f t="shared" si="25"/>
        <v/>
      </c>
    </row>
    <row r="304" spans="1:5" x14ac:dyDescent="0.35">
      <c r="A304" s="13" t="str">
        <f>IF(TDF_Freq="trimestriel","T2","")</f>
        <v/>
      </c>
      <c r="B304" s="13" t="str">
        <f>IF(TDF_Freq="trimestriel",2,"")</f>
        <v/>
      </c>
      <c r="C304" s="14" t="str">
        <f>IF(TDF_Freq="trimestriel",Quantification!M259,"")</f>
        <v/>
      </c>
      <c r="D304" s="227" t="str">
        <f t="shared" si="24"/>
        <v/>
      </c>
      <c r="E304" s="70" t="str">
        <f t="shared" si="25"/>
        <v/>
      </c>
    </row>
    <row r="305" spans="1:10" x14ac:dyDescent="0.35">
      <c r="A305" s="13" t="str">
        <f>IF(TDF_Freq="trimestriel","T3","")</f>
        <v/>
      </c>
      <c r="B305" s="13" t="str">
        <f>IF(TDF_Freq="trimestriel",2,"")</f>
        <v/>
      </c>
      <c r="C305" s="14" t="str">
        <f>IF(TDF_Freq="trimestriel",Quantification!M260,"")</f>
        <v/>
      </c>
      <c r="D305" s="227" t="str">
        <f t="shared" si="24"/>
        <v/>
      </c>
      <c r="E305" s="70" t="str">
        <f t="shared" si="25"/>
        <v/>
      </c>
    </row>
    <row r="306" spans="1:10" x14ac:dyDescent="0.35">
      <c r="A306" s="13" t="str">
        <f>IF(TDF_Freq="trimestriel","T4","")</f>
        <v/>
      </c>
      <c r="B306" s="13" t="str">
        <f>IF(TDF_Freq="trimestriel",2,"")</f>
        <v/>
      </c>
      <c r="C306" s="14" t="str">
        <f>IF(TDF_Freq="trimestriel",Quantification!M261,"")</f>
        <v/>
      </c>
      <c r="D306" s="227" t="str">
        <f t="shared" si="24"/>
        <v/>
      </c>
      <c r="E306" s="70" t="str">
        <f t="shared" si="25"/>
        <v/>
      </c>
    </row>
    <row r="307" spans="1:10" x14ac:dyDescent="0.35">
      <c r="A307" s="13" t="str">
        <f>IF(TDF_Freq="trimestriel","T1","")</f>
        <v/>
      </c>
      <c r="B307" s="13" t="str">
        <f>IF(TDF_Freq="trimestriel",3,"")</f>
        <v/>
      </c>
      <c r="C307" s="14" t="str">
        <f>IF(TDF_Freq="trimestriel",Quantification!M262,"")</f>
        <v/>
      </c>
      <c r="D307" s="227" t="str">
        <f t="shared" si="24"/>
        <v/>
      </c>
      <c r="E307" s="70" t="str">
        <f t="shared" si="25"/>
        <v/>
      </c>
    </row>
    <row r="308" spans="1:10" x14ac:dyDescent="0.35">
      <c r="A308" s="13" t="str">
        <f>IF(TDF_Freq="trimestriel","T2","")</f>
        <v/>
      </c>
      <c r="B308" s="13" t="str">
        <f>IF(TDF_Freq="trimestriel",3,"")</f>
        <v/>
      </c>
      <c r="C308" s="14" t="str">
        <f>IF(TDF_Freq="trimestriel",Quantification!M263,"")</f>
        <v/>
      </c>
      <c r="D308" s="227" t="str">
        <f t="shared" si="24"/>
        <v/>
      </c>
      <c r="E308" s="70" t="str">
        <f t="shared" si="25"/>
        <v/>
      </c>
    </row>
    <row r="309" spans="1:10" x14ac:dyDescent="0.35">
      <c r="A309" s="13" t="str">
        <f>IF(TDF_Freq="trimestriel","T3","")</f>
        <v/>
      </c>
      <c r="B309" s="13" t="str">
        <f>IF(TDF_Freq="trimestriel",3,"")</f>
        <v/>
      </c>
      <c r="C309" s="14" t="str">
        <f>IF(TDF_Freq="trimestriel",Quantification!M264,"")</f>
        <v/>
      </c>
      <c r="D309" s="227" t="str">
        <f t="shared" si="24"/>
        <v/>
      </c>
      <c r="E309" s="70" t="str">
        <f t="shared" si="25"/>
        <v/>
      </c>
    </row>
    <row r="310" spans="1:10" x14ac:dyDescent="0.35">
      <c r="A310" s="13" t="str">
        <f>IF(TDF_Freq="trimestriel","T4","")</f>
        <v/>
      </c>
      <c r="B310" s="13" t="str">
        <f>IF(TDF_Freq="trimestriel",3,"")</f>
        <v/>
      </c>
      <c r="C310" s="14" t="str">
        <f>IF(TDF_Freq="trimestriel",Quantification!M265,"")</f>
        <v/>
      </c>
      <c r="D310" s="227" t="str">
        <f t="shared" si="24"/>
        <v/>
      </c>
      <c r="E310" s="70" t="str">
        <f t="shared" si="25"/>
        <v/>
      </c>
    </row>
    <row r="312" spans="1:10" x14ac:dyDescent="0.35">
      <c r="A312" s="24" t="str">
        <f>"Total Année 1 ("&amp;Currency&amp;")"</f>
        <v>Total Année 1 ()</v>
      </c>
      <c r="B312" s="105"/>
      <c r="C312" s="106"/>
      <c r="D312" s="105"/>
      <c r="E312" s="147">
        <f>SUM(E299:E302)</f>
        <v>0</v>
      </c>
    </row>
    <row r="313" spans="1:10" x14ac:dyDescent="0.35">
      <c r="A313" s="24" t="str">
        <f>"Total Année 2 ("&amp;Currency&amp;")"</f>
        <v>Total Année 2 ()</v>
      </c>
      <c r="B313" s="105"/>
      <c r="C313" s="106"/>
      <c r="D313" s="105"/>
      <c r="E313" s="147">
        <f>SUM(E303:E306)</f>
        <v>0</v>
      </c>
    </row>
    <row r="314" spans="1:10" x14ac:dyDescent="0.35">
      <c r="A314" s="24" t="str">
        <f>"Total Année 3 ("&amp;Currency&amp;")"</f>
        <v>Total Année 3 ()</v>
      </c>
      <c r="B314" s="105"/>
      <c r="C314" s="106"/>
      <c r="D314" s="105"/>
      <c r="E314" s="147">
        <f>SUM(E307:E310)</f>
        <v>0</v>
      </c>
    </row>
    <row r="315" spans="1:10" x14ac:dyDescent="0.35">
      <c r="A315" s="2"/>
      <c r="C315" s="48"/>
      <c r="E315" s="237"/>
    </row>
    <row r="316" spans="1:10" ht="16" x14ac:dyDescent="0.4">
      <c r="A316" s="108" t="str">
        <f>"Total sur 3 ans ("&amp;Currency&amp;")"</f>
        <v>Total sur 3 ans ()</v>
      </c>
      <c r="B316" s="109"/>
      <c r="C316" s="135"/>
      <c r="D316" s="135"/>
      <c r="E316" s="136">
        <f>SUM(E312:E314)</f>
        <v>0</v>
      </c>
    </row>
    <row r="317" spans="1:10" ht="16" x14ac:dyDescent="0.4">
      <c r="A317" s="241"/>
      <c r="B317" s="241"/>
      <c r="C317" s="241"/>
      <c r="D317" s="241"/>
      <c r="E317" s="241"/>
      <c r="F317" s="242"/>
    </row>
    <row r="318" spans="1:10" ht="18.5" x14ac:dyDescent="0.45">
      <c r="A318" s="395" t="s">
        <v>608</v>
      </c>
      <c r="B318" s="395"/>
      <c r="C318" s="395"/>
      <c r="D318" s="395"/>
      <c r="E318" s="395"/>
      <c r="F318" s="395"/>
      <c r="G318" s="395"/>
      <c r="H318" s="395"/>
      <c r="I318" s="395"/>
      <c r="J318" s="395"/>
    </row>
    <row r="319" spans="1:10" x14ac:dyDescent="0.35">
      <c r="A319" s="234" t="s">
        <v>609</v>
      </c>
      <c r="B319" s="110"/>
      <c r="C319" s="110"/>
      <c r="D319" s="238"/>
      <c r="E319" s="110"/>
      <c r="F319" s="239"/>
      <c r="G319" s="110"/>
      <c r="H319" s="110"/>
      <c r="I319" s="110"/>
      <c r="J319" s="110"/>
    </row>
    <row r="320" spans="1:10" ht="15" thickBot="1" x14ac:dyDescent="0.4">
      <c r="A320" s="2"/>
      <c r="D320" s="48"/>
      <c r="F320" s="237"/>
    </row>
    <row r="321" spans="1:7" ht="16.5" thickBot="1" x14ac:dyDescent="0.45">
      <c r="A321" s="374" t="s">
        <v>603</v>
      </c>
      <c r="B321" s="375"/>
      <c r="C321" s="375"/>
      <c r="D321" s="375"/>
      <c r="E321" s="375"/>
      <c r="F321" s="375"/>
      <c r="G321" s="376"/>
    </row>
    <row r="322" spans="1:7" x14ac:dyDescent="0.35">
      <c r="A322" s="2"/>
      <c r="D322" s="48"/>
      <c r="F322" s="237"/>
    </row>
    <row r="323" spans="1:7" x14ac:dyDescent="0.35">
      <c r="A323" s="163" t="s">
        <v>536</v>
      </c>
    </row>
    <row r="324" spans="1:7" s="25" customFormat="1" ht="29" x14ac:dyDescent="0.35">
      <c r="A324" s="58" t="s">
        <v>537</v>
      </c>
      <c r="B324" s="58" t="s">
        <v>538</v>
      </c>
      <c r="C324" s="58" t="s">
        <v>592</v>
      </c>
      <c r="D324" s="57" t="str">
        <f>"Coût au débarquement par boîte ("&amp;Currency&amp;")"</f>
        <v>Coût au débarquement par boîte ()</v>
      </c>
      <c r="E324" s="57" t="str">
        <f>"Coût total ("&amp;Currency&amp;")"</f>
        <v>Coût total ()</v>
      </c>
    </row>
    <row r="325" spans="1:7" x14ac:dyDescent="0.35">
      <c r="A325" s="13" t="str">
        <f>IF(Effective_Other_DualTest_Freq="Annuel","Année 1","")</f>
        <v/>
      </c>
      <c r="B325" s="13" t="str">
        <f>IF(Effective_Other_DualTest_Freq="Annuel",1,"")</f>
        <v/>
      </c>
      <c r="C325" s="14" t="str">
        <f>IF(Other_DualTest_Freq="Annuel",Y1_Other_DualTest_Packs,"")</f>
        <v/>
      </c>
      <c r="D325" s="13" t="str">
        <f>IF(Effective_Other_DualTest_Freq="Annuel",DualTest_LandedCostPerPack,"")</f>
        <v/>
      </c>
      <c r="E325" s="70" t="str">
        <f>IF(Effective_Other_DualTest_Freq="Annuel",C325*D325,"")</f>
        <v/>
      </c>
    </row>
    <row r="326" spans="1:7" x14ac:dyDescent="0.35">
      <c r="A326" s="13" t="str">
        <f>IF(Effective_Other_DualTest_Freq="Annuel","Année 2","")</f>
        <v/>
      </c>
      <c r="B326" s="13" t="str">
        <f>IF(Effective_Other_DualTest_Freq="Annuel",2,"")</f>
        <v/>
      </c>
      <c r="C326" s="14" t="str">
        <f>IF(Other_DualTest_Freq="Annuel",Y2_Other_DualTest_Packs,"")</f>
        <v/>
      </c>
      <c r="D326" s="13" t="str">
        <f>IF(Effective_Other_DualTest_Freq="Annuel",DualTest_LandedCostPerPack,"")</f>
        <v/>
      </c>
      <c r="E326" s="70" t="str">
        <f>IF(Effective_Other_DualTest_Freq="Annuel",C326*D326,"")</f>
        <v/>
      </c>
    </row>
    <row r="327" spans="1:7" x14ac:dyDescent="0.35">
      <c r="A327" s="13" t="str">
        <f>IF(Effective_Other_DualTest_Freq="Annuel","Année 3","")</f>
        <v/>
      </c>
      <c r="B327" s="13" t="str">
        <f>IF(Effective_Other_DualTest_Freq="Annuel",3,"")</f>
        <v/>
      </c>
      <c r="C327" s="14" t="str">
        <f>IF(Other_DualTest_Freq="Annuel",Y3_Other_DualTest_Packs,"")</f>
        <v/>
      </c>
      <c r="D327" s="13" t="str">
        <f>IF(Effective_Other_DualTest_Freq="Annuel",DualTest_LandedCostPerPack,"")</f>
        <v/>
      </c>
      <c r="E327" s="70" t="str">
        <f>IF(Effective_Other_DualTest_Freq="Annuel",C327*D327,"")</f>
        <v/>
      </c>
    </row>
    <row r="328" spans="1:7" x14ac:dyDescent="0.35">
      <c r="A328" s="2"/>
      <c r="D328" s="48"/>
      <c r="F328" s="237"/>
    </row>
    <row r="329" spans="1:7" x14ac:dyDescent="0.35">
      <c r="A329" s="24" t="str">
        <f>"Total Année 1 ("&amp;Currency&amp;")"</f>
        <v>Total Année 1 ()</v>
      </c>
      <c r="B329" s="105"/>
      <c r="C329" s="106"/>
      <c r="D329" s="105"/>
      <c r="E329" s="147" t="str">
        <f>E325</f>
        <v/>
      </c>
      <c r="F329" s="237"/>
    </row>
    <row r="330" spans="1:7" x14ac:dyDescent="0.35">
      <c r="A330" s="24" t="str">
        <f>"Total Année 2 ("&amp;Currency&amp;")"</f>
        <v>Total Année 2 ()</v>
      </c>
      <c r="B330" s="105"/>
      <c r="C330" s="106"/>
      <c r="D330" s="105"/>
      <c r="E330" s="147" t="str">
        <f>E326</f>
        <v/>
      </c>
      <c r="F330" s="237"/>
    </row>
    <row r="331" spans="1:7" x14ac:dyDescent="0.35">
      <c r="A331" s="24" t="str">
        <f>"Total Année 3 ("&amp;Currency&amp;")"</f>
        <v>Total Année 3 ()</v>
      </c>
      <c r="B331" s="105"/>
      <c r="C331" s="106"/>
      <c r="D331" s="105"/>
      <c r="E331" s="147" t="str">
        <f>E327</f>
        <v/>
      </c>
      <c r="F331" s="237"/>
    </row>
    <row r="332" spans="1:7" x14ac:dyDescent="0.35">
      <c r="A332" s="233"/>
      <c r="B332" s="240"/>
      <c r="C332" s="48"/>
      <c r="E332" s="237"/>
      <c r="F332" s="237"/>
    </row>
    <row r="333" spans="1:7" ht="16" x14ac:dyDescent="0.4">
      <c r="A333" s="108" t="str">
        <f>"Total sur 3 ans ("&amp;Currency&amp;")"</f>
        <v>Total sur 3 ans ()</v>
      </c>
      <c r="B333" s="109"/>
      <c r="C333" s="135"/>
      <c r="D333" s="135"/>
      <c r="E333" s="136">
        <f>SUM(E329:E331)</f>
        <v>0</v>
      </c>
    </row>
    <row r="334" spans="1:7" ht="16" x14ac:dyDescent="0.4">
      <c r="A334" s="241"/>
      <c r="B334" s="241"/>
      <c r="C334" s="241"/>
      <c r="D334" s="241"/>
      <c r="E334" s="242"/>
    </row>
    <row r="335" spans="1:7" x14ac:dyDescent="0.35">
      <c r="A335" s="163" t="s">
        <v>549</v>
      </c>
    </row>
    <row r="336" spans="1:7" s="25" customFormat="1" ht="29" x14ac:dyDescent="0.35">
      <c r="A336" s="58" t="s">
        <v>537</v>
      </c>
      <c r="B336" s="58" t="s">
        <v>538</v>
      </c>
      <c r="C336" s="58" t="s">
        <v>592</v>
      </c>
      <c r="D336" s="57" t="str">
        <f>"Coût au débarquement par boîte ("&amp;Currency&amp;")"</f>
        <v>Coût au débarquement par boîte ()</v>
      </c>
      <c r="E336" s="57" t="str">
        <f>"Coût total ("&amp;Currency&amp;")"</f>
        <v>Coût total ()</v>
      </c>
    </row>
    <row r="337" spans="1:6" x14ac:dyDescent="0.35">
      <c r="A337" s="13" t="str">
        <f>IF(Effective_Other_DualTest_Freq="semestriel","S1","")</f>
        <v/>
      </c>
      <c r="B337" s="13" t="str">
        <f>IF(Effective_Other_DualTest_Freq="semestriel",1,"")</f>
        <v/>
      </c>
      <c r="C337" s="14" t="str">
        <f>IF(Effective_Other_DualTest_Freq="semestriel",IF(Other_Population="",0,Quantification!$L$301),"")</f>
        <v/>
      </c>
      <c r="D337" s="13" t="str">
        <f t="shared" ref="D337:D342" si="26">IF(Effective_Other_DualTest_Freq="semestriel",DualTest_LandedCostPerPack,"")</f>
        <v/>
      </c>
      <c r="E337" s="70" t="str">
        <f t="shared" ref="E337:E342" si="27">IF(Effective_Other_DualTest_Freq="semestriel",C337*D337,"")</f>
        <v/>
      </c>
    </row>
    <row r="338" spans="1:6" x14ac:dyDescent="0.35">
      <c r="A338" s="13" t="str">
        <f>IF(Effective_Other_DualTest_Freq="semestriel","S2","")</f>
        <v/>
      </c>
      <c r="B338" s="13" t="str">
        <f>IF(Effective_Other_DualTest_Freq="semestriel",1,"")</f>
        <v/>
      </c>
      <c r="C338" s="14" t="str">
        <f>IF(Effective_Other_DualTest_Freq="semestriel",IF(Other_Population="",0,Quantification!$L$302),"")</f>
        <v/>
      </c>
      <c r="D338" s="13" t="str">
        <f t="shared" si="26"/>
        <v/>
      </c>
      <c r="E338" s="70" t="str">
        <f t="shared" si="27"/>
        <v/>
      </c>
    </row>
    <row r="339" spans="1:6" x14ac:dyDescent="0.35">
      <c r="A339" s="13" t="str">
        <f>IF(Effective_Other_DualTest_Freq="semestriel","S1","")</f>
        <v/>
      </c>
      <c r="B339" s="13" t="str">
        <f>IF(Effective_Other_DualTest_Freq="semestriel",2,"")</f>
        <v/>
      </c>
      <c r="C339" s="14" t="str">
        <f>IF(Effective_Other_DualTest_Freq="semestriel",IF(Other_Population="",0,Quantification!$L$303),"")</f>
        <v/>
      </c>
      <c r="D339" s="13" t="str">
        <f t="shared" si="26"/>
        <v/>
      </c>
      <c r="E339" s="70" t="str">
        <f t="shared" si="27"/>
        <v/>
      </c>
    </row>
    <row r="340" spans="1:6" x14ac:dyDescent="0.35">
      <c r="A340" s="13" t="str">
        <f>IF(Effective_Other_DualTest_Freq="semestriel","S2","")</f>
        <v/>
      </c>
      <c r="B340" s="13" t="str">
        <f>IF(Effective_Other_DualTest_Freq="semestriel",2,"")</f>
        <v/>
      </c>
      <c r="C340" s="14" t="str">
        <f>IF(Effective_Other_DualTest_Freq="semestriel",IF(Other_Population="",0,Quantification!$L$304),"")</f>
        <v/>
      </c>
      <c r="D340" s="13" t="str">
        <f t="shared" si="26"/>
        <v/>
      </c>
      <c r="E340" s="70" t="str">
        <f t="shared" si="27"/>
        <v/>
      </c>
    </row>
    <row r="341" spans="1:6" x14ac:dyDescent="0.35">
      <c r="A341" s="13" t="str">
        <f>IF(Effective_Other_DualTest_Freq="semestriel","S1","")</f>
        <v/>
      </c>
      <c r="B341" s="13" t="str">
        <f>IF(Effective_Other_DualTest_Freq="semestriel",3,"")</f>
        <v/>
      </c>
      <c r="C341" s="14" t="str">
        <f>IF(Effective_Other_DualTest_Freq="semestriel",IF(Other_Population="",0,Quantification!$L$305),"")</f>
        <v/>
      </c>
      <c r="D341" s="13" t="str">
        <f t="shared" si="26"/>
        <v/>
      </c>
      <c r="E341" s="70" t="str">
        <f t="shared" si="27"/>
        <v/>
      </c>
    </row>
    <row r="342" spans="1:6" x14ac:dyDescent="0.35">
      <c r="A342" s="13" t="str">
        <f>IF(Effective_Other_DualTest_Freq="semestriel","S2","")</f>
        <v/>
      </c>
      <c r="B342" s="13" t="str">
        <f>IF(Effective_Other_DualTest_Freq="semestriel",3,"")</f>
        <v/>
      </c>
      <c r="C342" s="14" t="str">
        <f>IF(Effective_Other_DualTest_Freq="semestriel",IF(Other_Population="",0,Quantification!$L$306),"")</f>
        <v/>
      </c>
      <c r="D342" s="13" t="str">
        <f t="shared" si="26"/>
        <v/>
      </c>
      <c r="E342" s="70" t="str">
        <f t="shared" si="27"/>
        <v/>
      </c>
    </row>
    <row r="343" spans="1:6" x14ac:dyDescent="0.35">
      <c r="A343" s="2"/>
      <c r="D343" s="48"/>
      <c r="F343" s="237"/>
    </row>
    <row r="344" spans="1:6" x14ac:dyDescent="0.35">
      <c r="A344" s="24" t="str">
        <f>"Total Année 1 ("&amp;Currency&amp;")"</f>
        <v>Total Année 1 ()</v>
      </c>
      <c r="B344" s="105"/>
      <c r="C344" s="106"/>
      <c r="D344" s="105"/>
      <c r="E344" s="147">
        <f>SUM(E337:E338)</f>
        <v>0</v>
      </c>
      <c r="F344" s="237"/>
    </row>
    <row r="345" spans="1:6" x14ac:dyDescent="0.35">
      <c r="A345" s="24" t="str">
        <f>"Total Année 2 ("&amp;Currency&amp;")"</f>
        <v>Total Année 2 ()</v>
      </c>
      <c r="B345" s="105"/>
      <c r="C345" s="106"/>
      <c r="D345" s="105"/>
      <c r="E345" s="147">
        <f>SUM(E339:E340)</f>
        <v>0</v>
      </c>
      <c r="F345" s="237"/>
    </row>
    <row r="346" spans="1:6" x14ac:dyDescent="0.35">
      <c r="A346" s="24" t="str">
        <f>"Total Année 3 ("&amp;Currency&amp;")"</f>
        <v>Total Année 3 ()</v>
      </c>
      <c r="B346" s="105"/>
      <c r="C346" s="106"/>
      <c r="D346" s="105"/>
      <c r="E346" s="147">
        <f>SUM(E341:E342)</f>
        <v>0</v>
      </c>
      <c r="F346" s="237"/>
    </row>
    <row r="347" spans="1:6" x14ac:dyDescent="0.35">
      <c r="C347" s="48"/>
      <c r="E347" s="140"/>
      <c r="F347" s="237"/>
    </row>
    <row r="348" spans="1:6" ht="16" x14ac:dyDescent="0.4">
      <c r="A348" s="108" t="str">
        <f>"Total sur 3 ans ("&amp;Currency&amp;")"</f>
        <v>Total sur 3 ans ()</v>
      </c>
      <c r="B348" s="109"/>
      <c r="C348" s="135"/>
      <c r="D348" s="135"/>
      <c r="E348" s="136">
        <f>SUM(E344:E346)</f>
        <v>0</v>
      </c>
      <c r="F348" s="237"/>
    </row>
    <row r="349" spans="1:6" x14ac:dyDescent="0.35">
      <c r="A349" s="2"/>
      <c r="D349" s="48"/>
      <c r="F349" s="237"/>
    </row>
    <row r="350" spans="1:6" x14ac:dyDescent="0.35">
      <c r="A350" s="163" t="s">
        <v>550</v>
      </c>
    </row>
    <row r="351" spans="1:6" s="25" customFormat="1" ht="29" x14ac:dyDescent="0.35">
      <c r="A351" s="58" t="s">
        <v>537</v>
      </c>
      <c r="B351" s="58" t="s">
        <v>538</v>
      </c>
      <c r="C351" s="58" t="s">
        <v>592</v>
      </c>
      <c r="D351" s="57" t="str">
        <f>"Coût au débarquement par boîte ("&amp;Currency&amp;")"</f>
        <v>Coût au débarquement par boîte ()</v>
      </c>
      <c r="E351" s="57" t="str">
        <f>"Coût total ("&amp;Currency&amp;")"</f>
        <v>Coût total ()</v>
      </c>
    </row>
    <row r="352" spans="1:6" x14ac:dyDescent="0.35">
      <c r="A352" s="13" t="str">
        <f>IF(Effective_Other_DualTest_Freq="trimestriel","T1","")</f>
        <v/>
      </c>
      <c r="B352" s="13" t="str">
        <f>IF(Effective_Other_DualTest_Freq="trimestriel",1,"")</f>
        <v/>
      </c>
      <c r="C352" s="14" t="str">
        <f>IF(Effective_Other_DualTest_Freq="trimestriel",IF(Other_Population="",0,Quantification!$L$316),"")</f>
        <v/>
      </c>
      <c r="D352" s="13" t="str">
        <f t="shared" ref="D352:D363" si="28">IF(Effective_Other_DualTest_Freq="trimestriel",DualTest_LandedCostPerPack,"")</f>
        <v/>
      </c>
      <c r="E352" s="70" t="str">
        <f t="shared" ref="E352:E363" si="29">IF(Effective_Other_DualTest_Freq="trimestriel",C352*D352,"")</f>
        <v/>
      </c>
    </row>
    <row r="353" spans="1:6" x14ac:dyDescent="0.35">
      <c r="A353" s="13" t="str">
        <f>IF(Effective_Other_DualTest_Freq="trimestriel","T2","")</f>
        <v/>
      </c>
      <c r="B353" s="13" t="str">
        <f>IF(Effective_Other_DualTest_Freq="trimestriel",1,"")</f>
        <v/>
      </c>
      <c r="C353" s="14" t="str">
        <f>IF(Effective_Other_DualTest_Freq="trimestriel",IF(Other_Population="",0,Quantification!$L$317),"")</f>
        <v/>
      </c>
      <c r="D353" s="13" t="str">
        <f t="shared" si="28"/>
        <v/>
      </c>
      <c r="E353" s="70" t="str">
        <f t="shared" si="29"/>
        <v/>
      </c>
    </row>
    <row r="354" spans="1:6" x14ac:dyDescent="0.35">
      <c r="A354" s="13" t="str">
        <f>IF(Effective_Other_DualTest_Freq="trimestriel","T3","")</f>
        <v/>
      </c>
      <c r="B354" s="13" t="str">
        <f>IF(Effective_Other_DualTest_Freq="trimestriel",1,"")</f>
        <v/>
      </c>
      <c r="C354" s="14" t="str">
        <f>IF(Effective_Other_DualTest_Freq="trimestriel",IF(Other_Population="",0,Quantification!$L$318),"")</f>
        <v/>
      </c>
      <c r="D354" s="13" t="str">
        <f t="shared" si="28"/>
        <v/>
      </c>
      <c r="E354" s="70" t="str">
        <f t="shared" si="29"/>
        <v/>
      </c>
    </row>
    <row r="355" spans="1:6" x14ac:dyDescent="0.35">
      <c r="A355" s="13" t="str">
        <f>IF(Effective_Other_DualTest_Freq="trimestriel","T4","")</f>
        <v/>
      </c>
      <c r="B355" s="13" t="str">
        <f>IF(Effective_Other_DualTest_Freq="trimestriel",1,"")</f>
        <v/>
      </c>
      <c r="C355" s="14" t="str">
        <f>IF(Effective_Other_DualTest_Freq="trimestriel",IF(Other_Population="",0,Quantification!$L$319),"")</f>
        <v/>
      </c>
      <c r="D355" s="13" t="str">
        <f t="shared" si="28"/>
        <v/>
      </c>
      <c r="E355" s="70" t="str">
        <f t="shared" si="29"/>
        <v/>
      </c>
    </row>
    <row r="356" spans="1:6" x14ac:dyDescent="0.35">
      <c r="A356" s="13" t="str">
        <f>IF(Effective_Other_DualTest_Freq="trimestriel","T1","")</f>
        <v/>
      </c>
      <c r="B356" s="13" t="str">
        <f>IF(Effective_Other_DualTest_Freq="trimestriel",2,"")</f>
        <v/>
      </c>
      <c r="C356" s="14" t="str">
        <f>IF(Effective_Other_DualTest_Freq="trimestriel",IF(Other_Population="",0,Quantification!$L$320),"")</f>
        <v/>
      </c>
      <c r="D356" s="13" t="str">
        <f t="shared" si="28"/>
        <v/>
      </c>
      <c r="E356" s="70" t="str">
        <f t="shared" si="29"/>
        <v/>
      </c>
    </row>
    <row r="357" spans="1:6" x14ac:dyDescent="0.35">
      <c r="A357" s="13" t="str">
        <f>IF(Effective_Other_DualTest_Freq="trimestriel","T2","")</f>
        <v/>
      </c>
      <c r="B357" s="13" t="str">
        <f>IF(Effective_Other_DualTest_Freq="trimestriel",2,"")</f>
        <v/>
      </c>
      <c r="C357" s="14" t="str">
        <f>IF(Effective_Other_DualTest_Freq="trimestriel",IF(Other_Population="",0,Quantification!$L$321),"")</f>
        <v/>
      </c>
      <c r="D357" s="13" t="str">
        <f t="shared" si="28"/>
        <v/>
      </c>
      <c r="E357" s="70" t="str">
        <f t="shared" si="29"/>
        <v/>
      </c>
    </row>
    <row r="358" spans="1:6" x14ac:dyDescent="0.35">
      <c r="A358" s="13" t="str">
        <f>IF(Effective_Other_DualTest_Freq="trimestriel","T3","")</f>
        <v/>
      </c>
      <c r="B358" s="13" t="str">
        <f>IF(Effective_Other_DualTest_Freq="trimestriel",2,"")</f>
        <v/>
      </c>
      <c r="C358" s="14" t="str">
        <f>IF(Effective_Other_DualTest_Freq="trimestriel",IF(Other_Population="",0,Quantification!$L$322),"")</f>
        <v/>
      </c>
      <c r="D358" s="13" t="str">
        <f t="shared" si="28"/>
        <v/>
      </c>
      <c r="E358" s="70" t="str">
        <f t="shared" si="29"/>
        <v/>
      </c>
    </row>
    <row r="359" spans="1:6" x14ac:dyDescent="0.35">
      <c r="A359" s="13" t="str">
        <f>IF(Effective_Other_DualTest_Freq="trimestriel","T4","")</f>
        <v/>
      </c>
      <c r="B359" s="13" t="str">
        <f>IF(Effective_Other_DualTest_Freq="trimestriel",2,"")</f>
        <v/>
      </c>
      <c r="C359" s="14" t="str">
        <f>IF(Effective_Other_DualTest_Freq="trimestriel",IF(Other_Population="",0,Quantification!$L$323),"")</f>
        <v/>
      </c>
      <c r="D359" s="13" t="str">
        <f t="shared" si="28"/>
        <v/>
      </c>
      <c r="E359" s="70" t="str">
        <f t="shared" si="29"/>
        <v/>
      </c>
    </row>
    <row r="360" spans="1:6" x14ac:dyDescent="0.35">
      <c r="A360" s="13" t="str">
        <f>IF(Effective_Other_DualTest_Freq="trimestriel","T1","")</f>
        <v/>
      </c>
      <c r="B360" s="13" t="str">
        <f>IF(Effective_Other_DualTest_Freq="trimestriel",3,"")</f>
        <v/>
      </c>
      <c r="C360" s="14" t="str">
        <f>IF(Effective_Other_DualTest_Freq="trimestriel",IF(Other_Population="",0,Quantification!$L$324),"")</f>
        <v/>
      </c>
      <c r="D360" s="13" t="str">
        <f t="shared" si="28"/>
        <v/>
      </c>
      <c r="E360" s="70" t="str">
        <f t="shared" si="29"/>
        <v/>
      </c>
    </row>
    <row r="361" spans="1:6" x14ac:dyDescent="0.35">
      <c r="A361" s="13" t="str">
        <f>IF(Effective_Other_DualTest_Freq="trimestriel","T2","")</f>
        <v/>
      </c>
      <c r="B361" s="13" t="str">
        <f>IF(Effective_Other_DualTest_Freq="trimestriel",3,"")</f>
        <v/>
      </c>
      <c r="C361" s="14" t="str">
        <f>IF(Effective_Other_DualTest_Freq="trimestriel",IF(Other_Population="",0,Quantification!$L$325),"")</f>
        <v/>
      </c>
      <c r="D361" s="13" t="str">
        <f t="shared" si="28"/>
        <v/>
      </c>
      <c r="E361" s="70" t="str">
        <f t="shared" si="29"/>
        <v/>
      </c>
    </row>
    <row r="362" spans="1:6" x14ac:dyDescent="0.35">
      <c r="A362" s="13" t="str">
        <f>IF(Effective_Other_DualTest_Freq="trimestriel","T3","")</f>
        <v/>
      </c>
      <c r="B362" s="13" t="str">
        <f>IF(Effective_Other_DualTest_Freq="trimestriel",3,"")</f>
        <v/>
      </c>
      <c r="C362" s="14" t="str">
        <f>IF(Effective_Other_DualTest_Freq="trimestriel",IF(Other_Population="",0,Quantification!$L$326),"")</f>
        <v/>
      </c>
      <c r="D362" s="13" t="str">
        <f t="shared" si="28"/>
        <v/>
      </c>
      <c r="E362" s="70" t="str">
        <f t="shared" si="29"/>
        <v/>
      </c>
    </row>
    <row r="363" spans="1:6" x14ac:dyDescent="0.35">
      <c r="A363" s="13" t="str">
        <f>IF(Effective_Other_DualTest_Freq="trimestriel","T4","")</f>
        <v/>
      </c>
      <c r="B363" s="13" t="str">
        <f>IF(Effective_Other_DualTest_Freq="trimestriel",3,"")</f>
        <v/>
      </c>
      <c r="C363" s="14" t="str">
        <f>IF(Effective_Other_DualTest_Freq="trimestriel",IF(Other_Population="",0,Quantification!$L$327),"")</f>
        <v/>
      </c>
      <c r="D363" s="13" t="str">
        <f t="shared" si="28"/>
        <v/>
      </c>
      <c r="E363" s="70" t="str">
        <f t="shared" si="29"/>
        <v/>
      </c>
    </row>
    <row r="364" spans="1:6" x14ac:dyDescent="0.35">
      <c r="A364" s="2"/>
      <c r="D364" s="48"/>
      <c r="F364" s="237"/>
    </row>
    <row r="365" spans="1:6" x14ac:dyDescent="0.35">
      <c r="A365" s="24" t="str">
        <f>"Total Année 1 ("&amp;Currency&amp;")"</f>
        <v>Total Année 1 ()</v>
      </c>
      <c r="B365" s="105"/>
      <c r="C365" s="106"/>
      <c r="D365" s="105"/>
      <c r="E365" s="147">
        <f>SUM(E352:E355)</f>
        <v>0</v>
      </c>
    </row>
    <row r="366" spans="1:6" x14ac:dyDescent="0.35">
      <c r="A366" s="24" t="str">
        <f>"Total Année 2 ("&amp;Currency&amp;")"</f>
        <v>Total Année 2 ()</v>
      </c>
      <c r="B366" s="105"/>
      <c r="C366" s="106"/>
      <c r="D366" s="105"/>
      <c r="E366" s="147">
        <f>SUM(E356:E359)</f>
        <v>0</v>
      </c>
    </row>
    <row r="367" spans="1:6" x14ac:dyDescent="0.35">
      <c r="A367" s="24" t="str">
        <f>"Total Année 3 ("&amp;Currency&amp;")"</f>
        <v>Total Année 3 ()</v>
      </c>
      <c r="B367" s="105"/>
      <c r="C367" s="106"/>
      <c r="D367" s="105"/>
      <c r="E367" s="147">
        <f>SUM(E360:E363)</f>
        <v>0</v>
      </c>
    </row>
    <row r="368" spans="1:6" x14ac:dyDescent="0.35">
      <c r="C368" s="48"/>
      <c r="E368" s="140"/>
    </row>
    <row r="369" spans="1:7" ht="16" x14ac:dyDescent="0.4">
      <c r="A369" s="108" t="str">
        <f>"Total sur 3 ans ("&amp;Currency&amp;")"</f>
        <v>Total sur 3 ans ()</v>
      </c>
      <c r="B369" s="109"/>
      <c r="C369" s="135"/>
      <c r="D369" s="135"/>
      <c r="E369" s="136">
        <f>SUM(E365:E367)</f>
        <v>0</v>
      </c>
    </row>
    <row r="370" spans="1:7" ht="15" thickBot="1" x14ac:dyDescent="0.4">
      <c r="A370" s="2"/>
      <c r="D370" s="48"/>
      <c r="F370" s="237"/>
    </row>
    <row r="371" spans="1:7" ht="16.5" thickBot="1" x14ac:dyDescent="0.45">
      <c r="A371" s="374" t="s">
        <v>604</v>
      </c>
      <c r="B371" s="375"/>
      <c r="C371" s="375"/>
      <c r="D371" s="375"/>
      <c r="E371" s="375"/>
      <c r="F371" s="375"/>
      <c r="G371" s="376"/>
    </row>
    <row r="372" spans="1:7" x14ac:dyDescent="0.35">
      <c r="A372" s="2"/>
      <c r="D372" s="48"/>
      <c r="F372" s="237"/>
    </row>
    <row r="373" spans="1:7" x14ac:dyDescent="0.35">
      <c r="A373" s="163" t="s">
        <v>536</v>
      </c>
    </row>
    <row r="374" spans="1:7" s="25" customFormat="1" ht="29" x14ac:dyDescent="0.35">
      <c r="A374" s="58" t="s">
        <v>537</v>
      </c>
      <c r="B374" s="58" t="s">
        <v>538</v>
      </c>
      <c r="C374" s="58" t="s">
        <v>592</v>
      </c>
      <c r="D374" s="57" t="str">
        <f>"Coût au débarquement par boîte ("&amp;Currency&amp;")"</f>
        <v>Coût au débarquement par boîte ()</v>
      </c>
      <c r="E374" s="57" t="str">
        <f>"Coût total ("&amp;Currency&amp;")"</f>
        <v>Coût total ()</v>
      </c>
    </row>
    <row r="375" spans="1:7" x14ac:dyDescent="0.35">
      <c r="A375" s="13" t="str">
        <f>IF(Effective_Other_HBsAg_Freq="Annuel","Année 1","")</f>
        <v/>
      </c>
      <c r="B375" s="13" t="str">
        <f>IF(Effective_Other_HBsAg_Freq="Annuel",1,"")</f>
        <v/>
      </c>
      <c r="C375" s="14" t="str">
        <f>IF(Effective_Other_HBsAg_Freq="Annuel",IF(HBV_Other_Population="",0,Y1_Other_HBsAg_Packs),"")</f>
        <v/>
      </c>
      <c r="D375" s="227" t="str">
        <f>IF(Effective_Other_HBsAg_Freq="Annuel",HBsAg_LandedCostPerPack,"")</f>
        <v/>
      </c>
      <c r="E375" s="70" t="str">
        <f>IF(Effective_Other_HBsAg_Freq="Annuel",C375*D375,"")</f>
        <v/>
      </c>
    </row>
    <row r="376" spans="1:7" x14ac:dyDescent="0.35">
      <c r="A376" s="13" t="str">
        <f>IF(Effective_Other_HBsAg_Freq="Annuel","Année 2","")</f>
        <v/>
      </c>
      <c r="B376" s="13" t="str">
        <f>IF(Effective_Other_HBsAg_Freq="Annuel",2,"")</f>
        <v/>
      </c>
      <c r="C376" s="14" t="str">
        <f>IF(Effective_Other_HBsAg_Freq="Annuel",IF(HBV_Other_Population="",0,Y2_Other_HBsAg_Packs),"")</f>
        <v/>
      </c>
      <c r="D376" s="227" t="str">
        <f>IF(Effective_Other_HBsAg_Freq="Annuel",HBsAg_LandedCostPerPack,"")</f>
        <v/>
      </c>
      <c r="E376" s="70" t="str">
        <f>IF(Effective_Other_HBsAg_Freq="Annuel",C376*D376,"")</f>
        <v/>
      </c>
    </row>
    <row r="377" spans="1:7" x14ac:dyDescent="0.35">
      <c r="A377" s="13" t="str">
        <f>IF(Effective_Other_HBsAg_Freq="Annuel","Année 3","")</f>
        <v/>
      </c>
      <c r="B377" s="13" t="str">
        <f>IF(Effective_Other_HBsAg_Freq="Annuel",3,"")</f>
        <v/>
      </c>
      <c r="C377" s="14" t="str">
        <f>IF(Effective_Other_HBsAg_Freq="Annuel",IF(HBV_Other_Population="",0,Y3_Other_HBsAg_Packs),"")</f>
        <v/>
      </c>
      <c r="D377" s="227" t="str">
        <f>IF(Effective_Other_HBsAg_Freq="Annuel",HBsAg_LandedCostPerPack,"")</f>
        <v/>
      </c>
      <c r="E377" s="70" t="str">
        <f>IF(Effective_Other_HBsAg_Freq="Annuel",C377*D377,"")</f>
        <v/>
      </c>
    </row>
    <row r="378" spans="1:7" x14ac:dyDescent="0.35">
      <c r="A378" s="2"/>
      <c r="D378" s="48"/>
      <c r="F378" s="237"/>
    </row>
    <row r="379" spans="1:7" x14ac:dyDescent="0.35">
      <c r="A379" s="24" t="str">
        <f>"Total Année 1 ("&amp;Currency&amp;")"</f>
        <v>Total Année 1 ()</v>
      </c>
      <c r="B379" s="105"/>
      <c r="C379" s="106"/>
      <c r="D379" s="105"/>
      <c r="E379" s="147">
        <f>SUM(E375)</f>
        <v>0</v>
      </c>
      <c r="F379" s="237"/>
    </row>
    <row r="380" spans="1:7" x14ac:dyDescent="0.35">
      <c r="A380" s="24" t="str">
        <f>"Total Année 2 ("&amp;Currency&amp;")"</f>
        <v>Total Année 2 ()</v>
      </c>
      <c r="B380" s="105"/>
      <c r="C380" s="106"/>
      <c r="D380" s="105"/>
      <c r="E380" s="147">
        <f t="shared" ref="E380:E381" si="30">SUM(E376)</f>
        <v>0</v>
      </c>
      <c r="F380" s="237"/>
    </row>
    <row r="381" spans="1:7" x14ac:dyDescent="0.35">
      <c r="A381" s="24" t="str">
        <f>"Total Année 3 ("&amp;Currency&amp;")"</f>
        <v>Total Année 3 ()</v>
      </c>
      <c r="B381" s="105"/>
      <c r="C381" s="106"/>
      <c r="D381" s="105"/>
      <c r="E381" s="147">
        <f t="shared" si="30"/>
        <v>0</v>
      </c>
      <c r="F381" s="237"/>
    </row>
    <row r="382" spans="1:7" x14ac:dyDescent="0.35">
      <c r="A382" s="233"/>
      <c r="B382" s="240"/>
      <c r="C382" s="48"/>
      <c r="E382" s="237"/>
      <c r="F382" s="237"/>
    </row>
    <row r="383" spans="1:7" ht="16" x14ac:dyDescent="0.4">
      <c r="A383" s="108" t="str">
        <f>"Total sur 3 ans ("&amp;Currency&amp;")"</f>
        <v>Total sur 3 ans ()</v>
      </c>
      <c r="B383" s="109"/>
      <c r="C383" s="135"/>
      <c r="D383" s="135"/>
      <c r="E383" s="136">
        <f>SUM(E379:E381)</f>
        <v>0</v>
      </c>
    </row>
    <row r="384" spans="1:7" ht="16" x14ac:dyDescent="0.4">
      <c r="A384" s="241"/>
      <c r="B384" s="241"/>
      <c r="C384" s="241"/>
      <c r="D384" s="241"/>
      <c r="E384" s="242"/>
    </row>
    <row r="385" spans="1:6" x14ac:dyDescent="0.35">
      <c r="A385" s="163" t="s">
        <v>549</v>
      </c>
    </row>
    <row r="386" spans="1:6" s="25" customFormat="1" ht="29" x14ac:dyDescent="0.35">
      <c r="A386" s="58" t="s">
        <v>537</v>
      </c>
      <c r="B386" s="58" t="s">
        <v>538</v>
      </c>
      <c r="C386" s="58" t="s">
        <v>592</v>
      </c>
      <c r="D386" s="57" t="str">
        <f>"Coût au débarquement par boîte ("&amp;Currency&amp;")"</f>
        <v>Coût au débarquement par boîte ()</v>
      </c>
      <c r="E386" s="57" t="str">
        <f>"Coût total ("&amp;Currency&amp;")"</f>
        <v>Coût total ()</v>
      </c>
    </row>
    <row r="387" spans="1:6" x14ac:dyDescent="0.35">
      <c r="A387" s="13" t="str">
        <f>IF(Effective_Other_HBsAg_Freq="semestriel","S1","")</f>
        <v/>
      </c>
      <c r="B387" s="13" t="str">
        <f>IF(Effective_Other_HBsAg_Freq="semestriel",1,"")</f>
        <v/>
      </c>
      <c r="C387" s="14" t="str">
        <f>IF(Effective_Other_HBsAg_Freq="semestriel",IF(HBV_Other_Population="",0,Quantification!L352),"")</f>
        <v/>
      </c>
      <c r="D387" s="227" t="str">
        <f t="shared" ref="D387:D392" si="31">IF(Effective_Other_HBsAg_Freq="semestriel",HBsAg_LandedCostPerPack,"")</f>
        <v/>
      </c>
      <c r="E387" s="70" t="str">
        <f t="shared" ref="E387:E392" si="32">IF(Effective_Other_HBsAg_Freq="semestriel",C387*D387,"")</f>
        <v/>
      </c>
    </row>
    <row r="388" spans="1:6" x14ac:dyDescent="0.35">
      <c r="A388" s="13" t="str">
        <f>IF(Effective_Other_HBsAg_Freq="semestriel","S2","")</f>
        <v/>
      </c>
      <c r="B388" s="13" t="str">
        <f>IF(Effective_Other_HBsAg_Freq="semestriel",1,"")</f>
        <v/>
      </c>
      <c r="C388" s="14" t="str">
        <f>IF(Effective_Other_HBsAg_Freq="semestriel",IF(HBV_Other_Population="",0,Quantification!L353),"")</f>
        <v/>
      </c>
      <c r="D388" s="227" t="str">
        <f t="shared" si="31"/>
        <v/>
      </c>
      <c r="E388" s="70" t="str">
        <f t="shared" si="32"/>
        <v/>
      </c>
    </row>
    <row r="389" spans="1:6" x14ac:dyDescent="0.35">
      <c r="A389" s="13" t="str">
        <f>IF(Effective_Other_HBsAg_Freq="semestriel","S1","")</f>
        <v/>
      </c>
      <c r="B389" s="13" t="str">
        <f>IF(Effective_Other_HBsAg_Freq="semestriel",2,"")</f>
        <v/>
      </c>
      <c r="C389" s="14" t="str">
        <f>IF(Effective_Other_HBsAg_Freq="semestriel",IF(HBV_Other_Population="",0,Quantification!L354),"")</f>
        <v/>
      </c>
      <c r="D389" s="227" t="str">
        <f t="shared" si="31"/>
        <v/>
      </c>
      <c r="E389" s="70" t="str">
        <f t="shared" si="32"/>
        <v/>
      </c>
    </row>
    <row r="390" spans="1:6" x14ac:dyDescent="0.35">
      <c r="A390" s="13" t="str">
        <f>IF(Effective_Other_HBsAg_Freq="semestriel","S2","")</f>
        <v/>
      </c>
      <c r="B390" s="13" t="str">
        <f>IF(Effective_Other_HBsAg_Freq="semestriel",2,"")</f>
        <v/>
      </c>
      <c r="C390" s="14" t="str">
        <f>IF(Effective_Other_HBsAg_Freq="semestriel",IF(HBV_Other_Population="",0,Quantification!L355),"")</f>
        <v/>
      </c>
      <c r="D390" s="227" t="str">
        <f t="shared" si="31"/>
        <v/>
      </c>
      <c r="E390" s="70" t="str">
        <f t="shared" si="32"/>
        <v/>
      </c>
    </row>
    <row r="391" spans="1:6" x14ac:dyDescent="0.35">
      <c r="A391" s="13" t="str">
        <f>IF(Effective_Other_HBsAg_Freq="semestriel","S1","")</f>
        <v/>
      </c>
      <c r="B391" s="13" t="str">
        <f>IF(Effective_Other_HBsAg_Freq="semestriel",3,"")</f>
        <v/>
      </c>
      <c r="C391" s="14" t="str">
        <f>IF(Effective_Other_HBsAg_Freq="semestriel",IF(HBV_Other_Population="",0,Quantification!L356),"")</f>
        <v/>
      </c>
      <c r="D391" s="227" t="str">
        <f t="shared" si="31"/>
        <v/>
      </c>
      <c r="E391" s="70" t="str">
        <f t="shared" si="32"/>
        <v/>
      </c>
    </row>
    <row r="392" spans="1:6" x14ac:dyDescent="0.35">
      <c r="A392" s="13" t="str">
        <f>IF(Effective_Other_HBsAg_Freq="semestriel","S2","")</f>
        <v/>
      </c>
      <c r="B392" s="13" t="str">
        <f>IF(Effective_Other_HBsAg_Freq="semestriel",3,"")</f>
        <v/>
      </c>
      <c r="C392" s="14" t="str">
        <f>IF(Effective_Other_HBsAg_Freq="semestriel",IF(HBV_Other_Population="",0,Quantification!L357),"")</f>
        <v/>
      </c>
      <c r="D392" s="227" t="str">
        <f t="shared" si="31"/>
        <v/>
      </c>
      <c r="E392" s="70" t="str">
        <f t="shared" si="32"/>
        <v/>
      </c>
    </row>
    <row r="393" spans="1:6" x14ac:dyDescent="0.35">
      <c r="A393" s="2"/>
      <c r="D393" s="48"/>
      <c r="F393" s="237"/>
    </row>
    <row r="394" spans="1:6" x14ac:dyDescent="0.35">
      <c r="A394" s="24" t="str">
        <f>"Total Année 1 ("&amp;Currency&amp;")"</f>
        <v>Total Année 1 ()</v>
      </c>
      <c r="B394" s="105"/>
      <c r="C394" s="106"/>
      <c r="D394" s="105"/>
      <c r="E394" s="147">
        <f>SUM(E387:E388)</f>
        <v>0</v>
      </c>
      <c r="F394" s="237"/>
    </row>
    <row r="395" spans="1:6" x14ac:dyDescent="0.35">
      <c r="A395" s="24" t="str">
        <f>"Total Année 2 ("&amp;Currency&amp;")"</f>
        <v>Total Année 2 ()</v>
      </c>
      <c r="B395" s="105"/>
      <c r="C395" s="106"/>
      <c r="D395" s="105"/>
      <c r="E395" s="147">
        <f>SUM(E389:E390)</f>
        <v>0</v>
      </c>
      <c r="F395" s="237"/>
    </row>
    <row r="396" spans="1:6" x14ac:dyDescent="0.35">
      <c r="A396" s="24" t="str">
        <f>"Total Année 3 ("&amp;Currency&amp;")"</f>
        <v>Total Année 3 ()</v>
      </c>
      <c r="B396" s="105"/>
      <c r="C396" s="106"/>
      <c r="D396" s="105"/>
      <c r="E396" s="147">
        <f>SUM(E391:E392)</f>
        <v>0</v>
      </c>
      <c r="F396" s="237"/>
    </row>
    <row r="397" spans="1:6" x14ac:dyDescent="0.35">
      <c r="C397" s="48"/>
      <c r="E397" s="140"/>
      <c r="F397" s="237"/>
    </row>
    <row r="398" spans="1:6" ht="16" x14ac:dyDescent="0.4">
      <c r="A398" s="108" t="str">
        <f>"Total sur 3 ans ("&amp;Currency&amp;")"</f>
        <v>Total sur 3 ans ()</v>
      </c>
      <c r="B398" s="109"/>
      <c r="C398" s="135"/>
      <c r="D398" s="135"/>
      <c r="E398" s="136">
        <f>SUM(E394:E396)</f>
        <v>0</v>
      </c>
      <c r="F398" s="237"/>
    </row>
    <row r="399" spans="1:6" x14ac:dyDescent="0.35">
      <c r="A399" s="2"/>
      <c r="D399" s="48"/>
      <c r="F399" s="237"/>
    </row>
    <row r="400" spans="1:6" x14ac:dyDescent="0.35">
      <c r="A400" s="163" t="s">
        <v>550</v>
      </c>
    </row>
    <row r="401" spans="1:6" s="25" customFormat="1" ht="29" x14ac:dyDescent="0.35">
      <c r="A401" s="58" t="s">
        <v>537</v>
      </c>
      <c r="B401" s="58" t="s">
        <v>538</v>
      </c>
      <c r="C401" s="58" t="s">
        <v>592</v>
      </c>
      <c r="D401" s="57" t="str">
        <f>"Coût au débarquement par boîte ("&amp;Currency&amp;")"</f>
        <v>Coût au débarquement par boîte ()</v>
      </c>
      <c r="E401" s="57" t="str">
        <f>"Coût total ("&amp;Currency&amp;")"</f>
        <v>Coût total ()</v>
      </c>
    </row>
    <row r="402" spans="1:6" x14ac:dyDescent="0.35">
      <c r="A402" s="13" t="str">
        <f>IF(Effective_Other_HBsAg_Freq="trimestriel","T1","")</f>
        <v/>
      </c>
      <c r="B402" s="13" t="str">
        <f>IF(Effective_Other_HBsAg_Freq="trimestriel",1,"")</f>
        <v/>
      </c>
      <c r="C402" s="14" t="str">
        <f>IF(Effective_Other_HBsAg_Freq="trimestriel",IF(HBV_Other_Population="",0,Quantification!L367),"")</f>
        <v/>
      </c>
      <c r="D402" s="227" t="str">
        <f t="shared" ref="D402:D413" si="33">IF(Effective_Other_HBsAg_Freq="trimestriel",HBsAg_LandedCostPerPack,"")</f>
        <v/>
      </c>
      <c r="E402" s="70" t="str">
        <f t="shared" ref="E402:E413" si="34">IF(Effective_Other_HBsAg_Freq="trimestriel",C402*D402,"")</f>
        <v/>
      </c>
    </row>
    <row r="403" spans="1:6" x14ac:dyDescent="0.35">
      <c r="A403" s="13" t="str">
        <f>IF(Effective_Other_HBsAg_Freq="trimestriel","T2","")</f>
        <v/>
      </c>
      <c r="B403" s="13" t="str">
        <f>IF(Effective_Other_HBsAg_Freq="trimestriel",1,"")</f>
        <v/>
      </c>
      <c r="C403" s="14" t="str">
        <f>IF(Effective_Other_HBsAg_Freq="trimestriel",IF(HBV_Other_Population="",0,Quantification!L368),"")</f>
        <v/>
      </c>
      <c r="D403" s="227" t="str">
        <f t="shared" si="33"/>
        <v/>
      </c>
      <c r="E403" s="70" t="str">
        <f t="shared" si="34"/>
        <v/>
      </c>
    </row>
    <row r="404" spans="1:6" x14ac:dyDescent="0.35">
      <c r="A404" s="13" t="str">
        <f>IF(Effective_Other_HBsAg_Freq="trimestriel","T3","")</f>
        <v/>
      </c>
      <c r="B404" s="13" t="str">
        <f>IF(Effective_Other_HBsAg_Freq="trimestriel",1,"")</f>
        <v/>
      </c>
      <c r="C404" s="14" t="str">
        <f>IF(Effective_Other_HBsAg_Freq="trimestriel",IF(HBV_Other_Population="",0,Quantification!L369),"")</f>
        <v/>
      </c>
      <c r="D404" s="227" t="str">
        <f t="shared" si="33"/>
        <v/>
      </c>
      <c r="E404" s="70" t="str">
        <f t="shared" si="34"/>
        <v/>
      </c>
    </row>
    <row r="405" spans="1:6" x14ac:dyDescent="0.35">
      <c r="A405" s="13" t="str">
        <f>IF(Effective_Other_HBsAg_Freq="trimestriel","T4","")</f>
        <v/>
      </c>
      <c r="B405" s="13" t="str">
        <f>IF(Effective_Other_HBsAg_Freq="trimestriel",1,"")</f>
        <v/>
      </c>
      <c r="C405" s="14" t="str">
        <f>IF(Effective_Other_HBsAg_Freq="trimestriel",IF(HBV_Other_Population="",0,Quantification!L370),"")</f>
        <v/>
      </c>
      <c r="D405" s="227" t="str">
        <f t="shared" si="33"/>
        <v/>
      </c>
      <c r="E405" s="70" t="str">
        <f t="shared" si="34"/>
        <v/>
      </c>
    </row>
    <row r="406" spans="1:6" x14ac:dyDescent="0.35">
      <c r="A406" s="13" t="str">
        <f>IF(Effective_Other_HBsAg_Freq="trimestriel","T1","")</f>
        <v/>
      </c>
      <c r="B406" s="13" t="str">
        <f>IF(Effective_Other_HBsAg_Freq="trimestriel",2,"")</f>
        <v/>
      </c>
      <c r="C406" s="14" t="str">
        <f>IF(Effective_Other_HBsAg_Freq="trimestriel",IF(HBV_Other_Population="",0,Quantification!L371),"")</f>
        <v/>
      </c>
      <c r="D406" s="227" t="str">
        <f t="shared" si="33"/>
        <v/>
      </c>
      <c r="E406" s="70" t="str">
        <f t="shared" si="34"/>
        <v/>
      </c>
    </row>
    <row r="407" spans="1:6" x14ac:dyDescent="0.35">
      <c r="A407" s="13" t="str">
        <f>IF(Effective_Other_HBsAg_Freq="trimestriel","T2","")</f>
        <v/>
      </c>
      <c r="B407" s="13" t="str">
        <f>IF(Effective_Other_HBsAg_Freq="trimestriel",2,"")</f>
        <v/>
      </c>
      <c r="C407" s="14" t="str">
        <f>IF(Effective_Other_HBsAg_Freq="trimestriel",IF(HBV_Other_Population="",0,Quantification!L372),"")</f>
        <v/>
      </c>
      <c r="D407" s="227" t="str">
        <f t="shared" si="33"/>
        <v/>
      </c>
      <c r="E407" s="70" t="str">
        <f t="shared" si="34"/>
        <v/>
      </c>
    </row>
    <row r="408" spans="1:6" x14ac:dyDescent="0.35">
      <c r="A408" s="13" t="str">
        <f>IF(Effective_Other_HBsAg_Freq="trimestriel","T3","")</f>
        <v/>
      </c>
      <c r="B408" s="13" t="str">
        <f>IF(Effective_Other_HBsAg_Freq="trimestriel",2,"")</f>
        <v/>
      </c>
      <c r="C408" s="14" t="str">
        <f>IF(Effective_Other_HBsAg_Freq="trimestriel",IF(HBV_Other_Population="",0,Quantification!L373),"")</f>
        <v/>
      </c>
      <c r="D408" s="227" t="str">
        <f t="shared" si="33"/>
        <v/>
      </c>
      <c r="E408" s="70" t="str">
        <f t="shared" si="34"/>
        <v/>
      </c>
    </row>
    <row r="409" spans="1:6" x14ac:dyDescent="0.35">
      <c r="A409" s="13" t="str">
        <f>IF(Effective_Other_HBsAg_Freq="trimestriel","T4","")</f>
        <v/>
      </c>
      <c r="B409" s="13" t="str">
        <f>IF(Effective_Other_HBsAg_Freq="trimestriel",2,"")</f>
        <v/>
      </c>
      <c r="C409" s="14" t="str">
        <f>IF(Effective_Other_HBsAg_Freq="trimestriel",IF(HBV_Other_Population="",0,Quantification!L374),"")</f>
        <v/>
      </c>
      <c r="D409" s="227" t="str">
        <f t="shared" si="33"/>
        <v/>
      </c>
      <c r="E409" s="70" t="str">
        <f t="shared" si="34"/>
        <v/>
      </c>
    </row>
    <row r="410" spans="1:6" x14ac:dyDescent="0.35">
      <c r="A410" s="13" t="str">
        <f>IF(Effective_Other_HBsAg_Freq="trimestriel","T1","")</f>
        <v/>
      </c>
      <c r="B410" s="13" t="str">
        <f>IF(Effective_Other_HBsAg_Freq="trimestriel",3,"")</f>
        <v/>
      </c>
      <c r="C410" s="14" t="str">
        <f>IF(Effective_Other_HBsAg_Freq="trimestriel",IF(HBV_Other_Population="",0,Quantification!L375),"")</f>
        <v/>
      </c>
      <c r="D410" s="227" t="str">
        <f t="shared" si="33"/>
        <v/>
      </c>
      <c r="E410" s="70" t="str">
        <f t="shared" si="34"/>
        <v/>
      </c>
    </row>
    <row r="411" spans="1:6" x14ac:dyDescent="0.35">
      <c r="A411" s="13" t="str">
        <f>IF(Effective_Other_HBsAg_Freq="trimestriel","T2","")</f>
        <v/>
      </c>
      <c r="B411" s="13" t="str">
        <f>IF(Effective_Other_HBsAg_Freq="trimestriel",3,"")</f>
        <v/>
      </c>
      <c r="C411" s="14" t="str">
        <f>IF(Effective_Other_HBsAg_Freq="trimestriel",IF(HBV_Other_Population="",0,Quantification!L376),"")</f>
        <v/>
      </c>
      <c r="D411" s="227" t="str">
        <f t="shared" si="33"/>
        <v/>
      </c>
      <c r="E411" s="70" t="str">
        <f t="shared" si="34"/>
        <v/>
      </c>
    </row>
    <row r="412" spans="1:6" x14ac:dyDescent="0.35">
      <c r="A412" s="13" t="str">
        <f>IF(Effective_Other_HBsAg_Freq="trimestriel","T3","")</f>
        <v/>
      </c>
      <c r="B412" s="13" t="str">
        <f>IF(Effective_Other_HBsAg_Freq="trimestriel",3,"")</f>
        <v/>
      </c>
      <c r="C412" s="14" t="str">
        <f>IF(Effective_Other_HBsAg_Freq="trimestriel",IF(HBV_Other_Population="",0,Quantification!L377),"")</f>
        <v/>
      </c>
      <c r="D412" s="227" t="str">
        <f t="shared" si="33"/>
        <v/>
      </c>
      <c r="E412" s="70" t="str">
        <f t="shared" si="34"/>
        <v/>
      </c>
    </row>
    <row r="413" spans="1:6" x14ac:dyDescent="0.35">
      <c r="A413" s="13" t="str">
        <f>IF(Effective_Other_HBsAg_Freq="trimestriel","T4","")</f>
        <v/>
      </c>
      <c r="B413" s="13" t="str">
        <f>IF(Effective_Other_HBsAg_Freq="trimestriel",3,"")</f>
        <v/>
      </c>
      <c r="C413" s="14" t="str">
        <f>IF(Effective_Other_HBsAg_Freq="trimestriel",IF(HBV_Other_Population="",0,Quantification!L378),"")</f>
        <v/>
      </c>
      <c r="D413" s="227" t="str">
        <f t="shared" si="33"/>
        <v/>
      </c>
      <c r="E413" s="70" t="str">
        <f t="shared" si="34"/>
        <v/>
      </c>
    </row>
    <row r="414" spans="1:6" x14ac:dyDescent="0.35">
      <c r="A414" s="2"/>
      <c r="D414" s="48"/>
      <c r="F414" s="237"/>
    </row>
    <row r="415" spans="1:6" x14ac:dyDescent="0.35">
      <c r="A415" s="24" t="str">
        <f>"Total Année 1 ("&amp;Currency&amp;")"</f>
        <v>Total Année 1 ()</v>
      </c>
      <c r="B415" s="105"/>
      <c r="C415" s="106"/>
      <c r="D415" s="105"/>
      <c r="E415" s="147">
        <f>SUM(E402:E405)</f>
        <v>0</v>
      </c>
    </row>
    <row r="416" spans="1:6" x14ac:dyDescent="0.35">
      <c r="A416" s="24" t="str">
        <f>"Total Année 2 ("&amp;Currency&amp;")"</f>
        <v>Total Année 2 ()</v>
      </c>
      <c r="B416" s="105"/>
      <c r="C416" s="106"/>
      <c r="D416" s="105"/>
      <c r="E416" s="147">
        <f>SUM(E406:E409)</f>
        <v>0</v>
      </c>
    </row>
    <row r="417" spans="1:7" x14ac:dyDescent="0.35">
      <c r="A417" s="24" t="str">
        <f>"Total Année 3 ("&amp;Currency&amp;")"</f>
        <v>Total Année 3 ()</v>
      </c>
      <c r="B417" s="105"/>
      <c r="C417" s="106"/>
      <c r="D417" s="105"/>
      <c r="E417" s="147">
        <f>SUM(E410:E413)</f>
        <v>0</v>
      </c>
    </row>
    <row r="418" spans="1:7" x14ac:dyDescent="0.35">
      <c r="C418" s="48"/>
      <c r="E418" s="140"/>
    </row>
    <row r="419" spans="1:7" ht="16" x14ac:dyDescent="0.4">
      <c r="A419" s="108" t="str">
        <f>"Total sur 3 ans ("&amp;Currency&amp;")"</f>
        <v>Total sur 3 ans ()</v>
      </c>
      <c r="B419" s="109"/>
      <c r="C419" s="135"/>
      <c r="D419" s="135"/>
      <c r="E419" s="136">
        <f>SUM(E415:E417)</f>
        <v>0</v>
      </c>
    </row>
    <row r="420" spans="1:7" ht="15" thickBot="1" x14ac:dyDescent="0.4"/>
    <row r="421" spans="1:7" ht="16.5" thickBot="1" x14ac:dyDescent="0.45">
      <c r="A421" s="374" t="s">
        <v>605</v>
      </c>
      <c r="B421" s="375"/>
      <c r="C421" s="375"/>
      <c r="D421" s="375"/>
      <c r="E421" s="375"/>
      <c r="F421" s="375"/>
      <c r="G421" s="376"/>
    </row>
    <row r="422" spans="1:7" x14ac:dyDescent="0.35">
      <c r="A422" s="2"/>
      <c r="D422" s="48"/>
      <c r="F422" s="237"/>
    </row>
    <row r="423" spans="1:7" x14ac:dyDescent="0.35">
      <c r="A423" s="163" t="s">
        <v>536</v>
      </c>
    </row>
    <row r="424" spans="1:7" s="25" customFormat="1" ht="29" x14ac:dyDescent="0.35">
      <c r="A424" s="58" t="s">
        <v>537</v>
      </c>
      <c r="B424" s="58" t="s">
        <v>538</v>
      </c>
      <c r="C424" s="58" t="s">
        <v>592</v>
      </c>
      <c r="D424" s="57" t="str">
        <f>"Coût au débarquement par boîte ("&amp;Currency&amp;")"</f>
        <v>Coût au débarquement par boîte ()</v>
      </c>
      <c r="E424" s="57" t="str">
        <f>"Coût total ("&amp;Currency&amp;")"</f>
        <v>Coût total ()</v>
      </c>
    </row>
    <row r="425" spans="1:7" x14ac:dyDescent="0.35">
      <c r="A425" s="13" t="str">
        <f>IF(Effective_Other_TripleTest_Freq="Annuel","Année 1","")</f>
        <v/>
      </c>
      <c r="B425" s="13" t="str">
        <f>IF(Effective_Other_TripleTest_Freq="Annuel",1,"")</f>
        <v/>
      </c>
      <c r="C425" s="14" t="str">
        <f>IF(Effective_Other_TripleTest_Freq="Annuel",IF(Other_Population="",0,Y1_Other_TripleTest_Packs),"")</f>
        <v/>
      </c>
      <c r="D425" s="13" t="str">
        <f>IF(Effective_Other_TripleTest_Freq="Annuel",TripleTest_LandedCostPerPack,"")</f>
        <v/>
      </c>
      <c r="E425" s="70" t="str">
        <f>IF(Effective_Other_TripleTest_Freq="Annuel",IF(Other_Population="",0,C425)*D425,"")</f>
        <v/>
      </c>
    </row>
    <row r="426" spans="1:7" x14ac:dyDescent="0.35">
      <c r="A426" s="13" t="str">
        <f>IF(Effective_Other_TripleTest_Freq="Annuel","Année 2","")</f>
        <v/>
      </c>
      <c r="B426" s="13" t="str">
        <f>IF(Effective_Other_TripleTest_Freq="Annuel",2,"")</f>
        <v/>
      </c>
      <c r="C426" s="14" t="str">
        <f>IF(Effective_Other_TripleTest_Freq="Annuel",IF(Other_Population="",0,Y2_Other_TripleTest_Packs),"")</f>
        <v/>
      </c>
      <c r="D426" s="13" t="str">
        <f>IF(Effective_Other_TripleTest_Freq="Annuel",TripleTest_LandedCostPerPack,"")</f>
        <v/>
      </c>
      <c r="E426" s="70" t="str">
        <f>IF(Effective_Other_TripleTest_Freq="Annuel",IF(Other_Population="",0,C426)*D426,"")</f>
        <v/>
      </c>
    </row>
    <row r="427" spans="1:7" x14ac:dyDescent="0.35">
      <c r="A427" s="13" t="str">
        <f>IF(Effective_Other_TripleTest_Freq="Annuel","Année 3","")</f>
        <v/>
      </c>
      <c r="B427" s="13" t="str">
        <f>IF(Effective_Other_TripleTest_Freq="Annuel",3,"")</f>
        <v/>
      </c>
      <c r="C427" s="14" t="str">
        <f>IF(Effective_Other_TripleTest_Freq="Annuel",IF(Other_Population="",0,Y3_Other_TripleTest_Packs),"")</f>
        <v/>
      </c>
      <c r="D427" s="13" t="str">
        <f>IF(Effective_Other_TripleTest_Freq="Annuel",TripleTest_LandedCostPerPack,"")</f>
        <v/>
      </c>
      <c r="E427" s="70" t="str">
        <f>IF(Effective_Other_TripleTest_Freq="Annuel",IF(Other_Population="",0,C427)*D427,"")</f>
        <v/>
      </c>
    </row>
    <row r="428" spans="1:7" x14ac:dyDescent="0.35">
      <c r="A428" s="2"/>
      <c r="D428" s="48"/>
      <c r="F428" s="237"/>
    </row>
    <row r="429" spans="1:7" x14ac:dyDescent="0.35">
      <c r="A429" s="24" t="str">
        <f>"Total Année 1 ("&amp;Currency&amp;")"</f>
        <v>Total Année 1 ()</v>
      </c>
      <c r="B429" s="105"/>
      <c r="C429" s="106"/>
      <c r="D429" s="105"/>
      <c r="E429" s="147" t="str">
        <f>E425</f>
        <v/>
      </c>
      <c r="F429" s="237"/>
    </row>
    <row r="430" spans="1:7" x14ac:dyDescent="0.35">
      <c r="A430" s="24" t="str">
        <f>"Total Année 2 ("&amp;Currency&amp;")"</f>
        <v>Total Année 2 ()</v>
      </c>
      <c r="B430" s="105"/>
      <c r="C430" s="106"/>
      <c r="D430" s="105"/>
      <c r="E430" s="147" t="str">
        <f>E426</f>
        <v/>
      </c>
      <c r="F430" s="237"/>
    </row>
    <row r="431" spans="1:7" x14ac:dyDescent="0.35">
      <c r="A431" s="24" t="str">
        <f>"Total Année 3 ("&amp;Currency&amp;")"</f>
        <v>Total Année 3 ()</v>
      </c>
      <c r="B431" s="105"/>
      <c r="C431" s="106"/>
      <c r="D431" s="105"/>
      <c r="E431" s="147" t="str">
        <f>E427</f>
        <v/>
      </c>
      <c r="F431" s="237"/>
    </row>
    <row r="432" spans="1:7" x14ac:dyDescent="0.35">
      <c r="A432" s="233"/>
      <c r="B432" s="240"/>
      <c r="C432" s="48"/>
      <c r="E432" s="237"/>
      <c r="F432" s="237"/>
    </row>
    <row r="433" spans="1:6" ht="16" x14ac:dyDescent="0.4">
      <c r="A433" s="108" t="str">
        <f>"Total sur 3 ans ("&amp;Currency&amp;")"</f>
        <v>Total sur 3 ans ()</v>
      </c>
      <c r="B433" s="109"/>
      <c r="C433" s="135"/>
      <c r="D433" s="135"/>
      <c r="E433" s="136">
        <f>SUM(E429:E431)</f>
        <v>0</v>
      </c>
    </row>
    <row r="434" spans="1:6" ht="16" x14ac:dyDescent="0.4">
      <c r="A434" s="241"/>
      <c r="B434" s="241"/>
      <c r="C434" s="241"/>
      <c r="D434" s="241"/>
      <c r="E434" s="242"/>
    </row>
    <row r="435" spans="1:6" x14ac:dyDescent="0.35">
      <c r="A435" s="163" t="s">
        <v>549</v>
      </c>
    </row>
    <row r="436" spans="1:6" s="25" customFormat="1" ht="29" x14ac:dyDescent="0.35">
      <c r="A436" s="58" t="s">
        <v>537</v>
      </c>
      <c r="B436" s="58" t="s">
        <v>538</v>
      </c>
      <c r="C436" s="58" t="s">
        <v>592</v>
      </c>
      <c r="D436" s="57" t="str">
        <f>"Coût au débarquement par boîte ("&amp;Currency&amp;")"</f>
        <v>Coût au débarquement par boîte ()</v>
      </c>
      <c r="E436" s="57" t="str">
        <f>"Coût total ("&amp;Currency&amp;")"</f>
        <v>Coût total ()</v>
      </c>
    </row>
    <row r="437" spans="1:6" x14ac:dyDescent="0.35">
      <c r="A437" s="13" t="str">
        <f>IF(Effective_Other_TripleTest_Freq="semestriel","S1","")</f>
        <v/>
      </c>
      <c r="B437" s="13" t="str">
        <f>IF(Effective_Other_TripleTest_Freq="semestriel",1,"")</f>
        <v/>
      </c>
      <c r="C437" s="14" t="str">
        <f>IF(Effective_Other_TripleTest_Freq="semestriel",IF(Other_Population="",0,Quantification!L403),"")</f>
        <v/>
      </c>
      <c r="D437" s="13" t="str">
        <f t="shared" ref="D437:D442" si="35">IF(Effective_Other_TripleTest_Freq="semestriel",TripleTest_LandedCostPerPack,"")</f>
        <v/>
      </c>
      <c r="E437" s="70" t="str">
        <f t="shared" ref="E437:E442" si="36">IF(Effective_Other_TripleTest_Freq="semestriel",IF(Other_Population="",0,C437)*D437,"")</f>
        <v/>
      </c>
    </row>
    <row r="438" spans="1:6" x14ac:dyDescent="0.35">
      <c r="A438" s="13" t="str">
        <f>IF(Effective_Other_TripleTest_Freq="semestriel","S2","")</f>
        <v/>
      </c>
      <c r="B438" s="13" t="str">
        <f>IF(Effective_Other_TripleTest_Freq="semestriel",1,"")</f>
        <v/>
      </c>
      <c r="C438" s="14" t="str">
        <f>IF(Effective_Other_TripleTest_Freq="semestriel",IF(Other_Population="",0,Quantification!L404),"")</f>
        <v/>
      </c>
      <c r="D438" s="13" t="str">
        <f t="shared" si="35"/>
        <v/>
      </c>
      <c r="E438" s="70" t="str">
        <f t="shared" si="36"/>
        <v/>
      </c>
    </row>
    <row r="439" spans="1:6" x14ac:dyDescent="0.35">
      <c r="A439" s="13" t="str">
        <f>IF(Effective_Other_TripleTest_Freq="semestriel","S1","")</f>
        <v/>
      </c>
      <c r="B439" s="13" t="str">
        <f>IF(Effective_Other_TripleTest_Freq="semestriel",2,"")</f>
        <v/>
      </c>
      <c r="C439" s="14" t="str">
        <f>IF(Effective_Other_TripleTest_Freq="semestriel",IF(Other_Population="",0,Quantification!L405),"")</f>
        <v/>
      </c>
      <c r="D439" s="13" t="str">
        <f t="shared" si="35"/>
        <v/>
      </c>
      <c r="E439" s="70" t="str">
        <f t="shared" si="36"/>
        <v/>
      </c>
    </row>
    <row r="440" spans="1:6" x14ac:dyDescent="0.35">
      <c r="A440" s="13" t="str">
        <f>IF(Effective_Other_TripleTest_Freq="semestriel","S2","")</f>
        <v/>
      </c>
      <c r="B440" s="13" t="str">
        <f>IF(Effective_Other_TripleTest_Freq="semestriel",2,"")</f>
        <v/>
      </c>
      <c r="C440" s="14" t="str">
        <f>IF(Effective_Other_TripleTest_Freq="semestriel",IF(Other_Population="",0,Quantification!L406),"")</f>
        <v/>
      </c>
      <c r="D440" s="13" t="str">
        <f t="shared" si="35"/>
        <v/>
      </c>
      <c r="E440" s="70" t="str">
        <f t="shared" si="36"/>
        <v/>
      </c>
    </row>
    <row r="441" spans="1:6" x14ac:dyDescent="0.35">
      <c r="A441" s="13" t="str">
        <f>IF(Effective_Other_TripleTest_Freq="semestriel","S1","")</f>
        <v/>
      </c>
      <c r="B441" s="13" t="str">
        <f>IF(Effective_Other_TripleTest_Freq="semestriel",3,"")</f>
        <v/>
      </c>
      <c r="C441" s="14" t="str">
        <f>IF(Effective_Other_TripleTest_Freq="semestriel",IF(Other_Population="",0,Quantification!L407),"")</f>
        <v/>
      </c>
      <c r="D441" s="13" t="str">
        <f t="shared" si="35"/>
        <v/>
      </c>
      <c r="E441" s="70" t="str">
        <f t="shared" si="36"/>
        <v/>
      </c>
    </row>
    <row r="442" spans="1:6" x14ac:dyDescent="0.35">
      <c r="A442" s="13" t="str">
        <f>IF(Effective_Other_TripleTest_Freq="semestriel","S2","")</f>
        <v/>
      </c>
      <c r="B442" s="13" t="str">
        <f>IF(Effective_Other_TripleTest_Freq="semestriel",3,"")</f>
        <v/>
      </c>
      <c r="C442" s="14" t="str">
        <f>IF(Effective_Other_TripleTest_Freq="semestriel",IF(Other_Population="",0,Quantification!L408),"")</f>
        <v/>
      </c>
      <c r="D442" s="13" t="str">
        <f t="shared" si="35"/>
        <v/>
      </c>
      <c r="E442" s="70" t="str">
        <f t="shared" si="36"/>
        <v/>
      </c>
    </row>
    <row r="443" spans="1:6" x14ac:dyDescent="0.35">
      <c r="A443" s="2"/>
      <c r="D443" s="48"/>
      <c r="F443" s="237"/>
    </row>
    <row r="444" spans="1:6" x14ac:dyDescent="0.35">
      <c r="A444" s="24" t="str">
        <f>"Total Année 1 ("&amp;Currency&amp;")"</f>
        <v>Total Année 1 ()</v>
      </c>
      <c r="B444" s="105"/>
      <c r="C444" s="106"/>
      <c r="D444" s="105"/>
      <c r="E444" s="147">
        <f>SUM(E437:E438)</f>
        <v>0</v>
      </c>
      <c r="F444" s="237"/>
    </row>
    <row r="445" spans="1:6" x14ac:dyDescent="0.35">
      <c r="A445" s="24" t="str">
        <f>"Total Année 2 ("&amp;Currency&amp;")"</f>
        <v>Total Année 2 ()</v>
      </c>
      <c r="B445" s="105"/>
      <c r="C445" s="106"/>
      <c r="D445" s="105"/>
      <c r="E445" s="147">
        <f>SUM(E439:E440)</f>
        <v>0</v>
      </c>
      <c r="F445" s="237"/>
    </row>
    <row r="446" spans="1:6" x14ac:dyDescent="0.35">
      <c r="A446" s="24" t="str">
        <f>"Total Année 3 ("&amp;Currency&amp;")"</f>
        <v>Total Année 3 ()</v>
      </c>
      <c r="B446" s="105"/>
      <c r="C446" s="106"/>
      <c r="D446" s="105"/>
      <c r="E446" s="147">
        <f>SUM(E441:E442)</f>
        <v>0</v>
      </c>
      <c r="F446" s="237"/>
    </row>
    <row r="447" spans="1:6" x14ac:dyDescent="0.35">
      <c r="C447" s="48"/>
      <c r="E447" s="140"/>
      <c r="F447" s="237"/>
    </row>
    <row r="448" spans="1:6" ht="16" x14ac:dyDescent="0.4">
      <c r="A448" s="108" t="str">
        <f>"Total sur 3 ans ("&amp;Currency&amp;")"</f>
        <v>Total sur 3 ans ()</v>
      </c>
      <c r="B448" s="109"/>
      <c r="C448" s="135"/>
      <c r="D448" s="135"/>
      <c r="E448" s="136">
        <f>SUM(E444:E446)</f>
        <v>0</v>
      </c>
      <c r="F448" s="237"/>
    </row>
    <row r="449" spans="1:6" x14ac:dyDescent="0.35">
      <c r="A449" s="2"/>
      <c r="D449" s="48"/>
      <c r="F449" s="237"/>
    </row>
    <row r="450" spans="1:6" x14ac:dyDescent="0.35">
      <c r="A450" s="163" t="s">
        <v>550</v>
      </c>
    </row>
    <row r="451" spans="1:6" s="25" customFormat="1" ht="29" x14ac:dyDescent="0.35">
      <c r="A451" s="58" t="s">
        <v>537</v>
      </c>
      <c r="B451" s="58" t="s">
        <v>538</v>
      </c>
      <c r="C451" s="58" t="s">
        <v>592</v>
      </c>
      <c r="D451" s="57" t="str">
        <f>"Coût au débarquement par boîte ("&amp;Currency&amp;")"</f>
        <v>Coût au débarquement par boîte ()</v>
      </c>
      <c r="E451" s="57" t="str">
        <f>"Coût total ("&amp;Currency&amp;")"</f>
        <v>Coût total ()</v>
      </c>
    </row>
    <row r="452" spans="1:6" x14ac:dyDescent="0.35">
      <c r="A452" s="13" t="str">
        <f>IF(Effective_Other_TripleTest_Freq="trimestriel","T1","")</f>
        <v/>
      </c>
      <c r="B452" s="13" t="str">
        <f>IF(Effective_Other_TripleTest_Freq="trimestriel",1,"")</f>
        <v/>
      </c>
      <c r="C452" s="14" t="str">
        <f>IF(Effective_Other_TripleTest_Freq="trimestriel",IF(Other_Population="",0,Quantification!L418),"")</f>
        <v/>
      </c>
      <c r="D452" s="13" t="str">
        <f t="shared" ref="D452:D463" si="37">IF(Effective_Other_TripleTest_Freq="trimestriel",TripleTest_LandedCostPerPack,"")</f>
        <v/>
      </c>
      <c r="E452" s="70" t="str">
        <f t="shared" ref="E452:E463" si="38">IF(Effective_Other_TripleTest_Freq="trimestriel",IF(Other_Population="",0,C452)*D452,"")</f>
        <v/>
      </c>
    </row>
    <row r="453" spans="1:6" x14ac:dyDescent="0.35">
      <c r="A453" s="13" t="str">
        <f>IF(Effective_Other_TripleTest_Freq="trimestriel","T2","")</f>
        <v/>
      </c>
      <c r="B453" s="13" t="str">
        <f>IF(Effective_Other_TripleTest_Freq="trimestriel",1,"")</f>
        <v/>
      </c>
      <c r="C453" s="14" t="str">
        <f>IF(Effective_Other_TripleTest_Freq="trimestriel",IF(Other_Population="",0,Quantification!L419),"")</f>
        <v/>
      </c>
      <c r="D453" s="13" t="str">
        <f t="shared" si="37"/>
        <v/>
      </c>
      <c r="E453" s="70" t="str">
        <f t="shared" si="38"/>
        <v/>
      </c>
    </row>
    <row r="454" spans="1:6" x14ac:dyDescent="0.35">
      <c r="A454" s="13" t="str">
        <f>IF(Effective_Other_TripleTest_Freq="trimestriel","T3","")</f>
        <v/>
      </c>
      <c r="B454" s="13" t="str">
        <f>IF(Effective_Other_TripleTest_Freq="trimestriel",1,"")</f>
        <v/>
      </c>
      <c r="C454" s="14" t="str">
        <f>IF(Effective_Other_TripleTest_Freq="trimestriel",IF(Other_Population="",0,Quantification!L420),"")</f>
        <v/>
      </c>
      <c r="D454" s="13" t="str">
        <f t="shared" si="37"/>
        <v/>
      </c>
      <c r="E454" s="70" t="str">
        <f t="shared" si="38"/>
        <v/>
      </c>
    </row>
    <row r="455" spans="1:6" x14ac:dyDescent="0.35">
      <c r="A455" s="13" t="str">
        <f>IF(Effective_Other_TripleTest_Freq="trimestriel","T4","")</f>
        <v/>
      </c>
      <c r="B455" s="13" t="str">
        <f>IF(Effective_Other_TripleTest_Freq="trimestriel",1,"")</f>
        <v/>
      </c>
      <c r="C455" s="14" t="str">
        <f>IF(Effective_Other_TripleTest_Freq="trimestriel",IF(Other_Population="",0,Quantification!L421),"")</f>
        <v/>
      </c>
      <c r="D455" s="13" t="str">
        <f t="shared" si="37"/>
        <v/>
      </c>
      <c r="E455" s="70" t="str">
        <f t="shared" si="38"/>
        <v/>
      </c>
    </row>
    <row r="456" spans="1:6" x14ac:dyDescent="0.35">
      <c r="A456" s="13" t="str">
        <f>IF(Effective_Other_TripleTest_Freq="trimestriel","T1","")</f>
        <v/>
      </c>
      <c r="B456" s="13" t="str">
        <f>IF(Effective_Other_TripleTest_Freq="trimestriel",2,"")</f>
        <v/>
      </c>
      <c r="C456" s="14" t="str">
        <f>IF(Effective_Other_TripleTest_Freq="trimestriel",IF(Other_Population="",0,Quantification!L422),"")</f>
        <v/>
      </c>
      <c r="D456" s="13" t="str">
        <f t="shared" si="37"/>
        <v/>
      </c>
      <c r="E456" s="70" t="str">
        <f t="shared" si="38"/>
        <v/>
      </c>
    </row>
    <row r="457" spans="1:6" x14ac:dyDescent="0.35">
      <c r="A457" s="13" t="str">
        <f>IF(Effective_Other_TripleTest_Freq="trimestriel","T2","")</f>
        <v/>
      </c>
      <c r="B457" s="13" t="str">
        <f>IF(Effective_Other_TripleTest_Freq="trimestriel",2,"")</f>
        <v/>
      </c>
      <c r="C457" s="14" t="str">
        <f>IF(Effective_Other_TripleTest_Freq="trimestriel",IF(Other_Population="",0,Quantification!L423),"")</f>
        <v/>
      </c>
      <c r="D457" s="13" t="str">
        <f t="shared" si="37"/>
        <v/>
      </c>
      <c r="E457" s="70" t="str">
        <f t="shared" si="38"/>
        <v/>
      </c>
    </row>
    <row r="458" spans="1:6" x14ac:dyDescent="0.35">
      <c r="A458" s="13" t="str">
        <f>IF(Effective_Other_TripleTest_Freq="trimestriel","T3","")</f>
        <v/>
      </c>
      <c r="B458" s="13" t="str">
        <f>IF(Effective_Other_TripleTest_Freq="trimestriel",2,"")</f>
        <v/>
      </c>
      <c r="C458" s="14" t="str">
        <f>IF(Effective_Other_TripleTest_Freq="trimestriel",IF(Other_Population="",0,Quantification!L424),"")</f>
        <v/>
      </c>
      <c r="D458" s="13" t="str">
        <f t="shared" si="37"/>
        <v/>
      </c>
      <c r="E458" s="70" t="str">
        <f t="shared" si="38"/>
        <v/>
      </c>
    </row>
    <row r="459" spans="1:6" x14ac:dyDescent="0.35">
      <c r="A459" s="13" t="str">
        <f>IF(Effective_Other_TripleTest_Freq="trimestriel","T4","")</f>
        <v/>
      </c>
      <c r="B459" s="13" t="str">
        <f>IF(Effective_Other_TripleTest_Freq="trimestriel",2,"")</f>
        <v/>
      </c>
      <c r="C459" s="14" t="str">
        <f>IF(Effective_Other_TripleTest_Freq="trimestriel",IF(Other_Population="",0,Quantification!L425),"")</f>
        <v/>
      </c>
      <c r="D459" s="13" t="str">
        <f t="shared" si="37"/>
        <v/>
      </c>
      <c r="E459" s="70" t="str">
        <f t="shared" si="38"/>
        <v/>
      </c>
    </row>
    <row r="460" spans="1:6" x14ac:dyDescent="0.35">
      <c r="A460" s="13" t="str">
        <f>IF(Effective_Other_TripleTest_Freq="trimestriel","T1","")</f>
        <v/>
      </c>
      <c r="B460" s="13" t="str">
        <f>IF(Effective_Other_TripleTest_Freq="trimestriel",3,"")</f>
        <v/>
      </c>
      <c r="C460" s="14" t="str">
        <f>IF(Effective_Other_TripleTest_Freq="trimestriel",IF(Other_Population="",0,Quantification!L426),"")</f>
        <v/>
      </c>
      <c r="D460" s="13" t="str">
        <f t="shared" si="37"/>
        <v/>
      </c>
      <c r="E460" s="70" t="str">
        <f t="shared" si="38"/>
        <v/>
      </c>
    </row>
    <row r="461" spans="1:6" x14ac:dyDescent="0.35">
      <c r="A461" s="13" t="str">
        <f>IF(Effective_Other_TripleTest_Freq="trimestriel","T2","")</f>
        <v/>
      </c>
      <c r="B461" s="13" t="str">
        <f>IF(Effective_Other_TripleTest_Freq="trimestriel",3,"")</f>
        <v/>
      </c>
      <c r="C461" s="14" t="str">
        <f>IF(Effective_Other_TripleTest_Freq="trimestriel",IF(Other_Population="",0,Quantification!L427),"")</f>
        <v/>
      </c>
      <c r="D461" s="13" t="str">
        <f t="shared" si="37"/>
        <v/>
      </c>
      <c r="E461" s="70" t="str">
        <f t="shared" si="38"/>
        <v/>
      </c>
    </row>
    <row r="462" spans="1:6" x14ac:dyDescent="0.35">
      <c r="A462" s="13" t="str">
        <f>IF(Effective_Other_TripleTest_Freq="trimestriel","T3","")</f>
        <v/>
      </c>
      <c r="B462" s="13" t="str">
        <f>IF(Effective_Other_TripleTest_Freq="trimestriel",3,"")</f>
        <v/>
      </c>
      <c r="C462" s="14" t="str">
        <f>IF(Effective_Other_TripleTest_Freq="trimestriel",IF(Other_Population="",0,Quantification!L428),"")</f>
        <v/>
      </c>
      <c r="D462" s="13" t="str">
        <f t="shared" si="37"/>
        <v/>
      </c>
      <c r="E462" s="70" t="str">
        <f t="shared" si="38"/>
        <v/>
      </c>
    </row>
    <row r="463" spans="1:6" x14ac:dyDescent="0.35">
      <c r="A463" s="13" t="str">
        <f>IF(Effective_Other_TripleTest_Freq="trimestriel","T4","")</f>
        <v/>
      </c>
      <c r="B463" s="13" t="str">
        <f>IF(Effective_Other_TripleTest_Freq="trimestriel",3,"")</f>
        <v/>
      </c>
      <c r="C463" s="14" t="str">
        <f>IF(Effective_Other_TripleTest_Freq="trimestriel",IF(Other_Population="",0,Quantification!L429),"")</f>
        <v/>
      </c>
      <c r="D463" s="13" t="str">
        <f t="shared" si="37"/>
        <v/>
      </c>
      <c r="E463" s="70" t="str">
        <f t="shared" si="38"/>
        <v/>
      </c>
    </row>
    <row r="464" spans="1:6" x14ac:dyDescent="0.35">
      <c r="A464" s="2"/>
      <c r="D464" s="48"/>
      <c r="F464" s="237"/>
    </row>
    <row r="465" spans="1:7" x14ac:dyDescent="0.35">
      <c r="A465" s="24" t="str">
        <f>"Total Année 1 ("&amp;Currency&amp;")"</f>
        <v>Total Année 1 ()</v>
      </c>
      <c r="B465" s="105"/>
      <c r="C465" s="106"/>
      <c r="D465" s="105"/>
      <c r="E465" s="147">
        <f>SUM(E452:E455)</f>
        <v>0</v>
      </c>
    </row>
    <row r="466" spans="1:7" x14ac:dyDescent="0.35">
      <c r="A466" s="24" t="str">
        <f>"Total Année 2 ("&amp;Currency&amp;")"</f>
        <v>Total Année 2 ()</v>
      </c>
      <c r="B466" s="105"/>
      <c r="C466" s="106"/>
      <c r="D466" s="105"/>
      <c r="E466" s="147">
        <f>SUM(E456:E459)</f>
        <v>0</v>
      </c>
    </row>
    <row r="467" spans="1:7" x14ac:dyDescent="0.35">
      <c r="A467" s="24" t="str">
        <f>"Total Année 3 ("&amp;Currency&amp;")"</f>
        <v>Total Année 3 ()</v>
      </c>
      <c r="B467" s="105"/>
      <c r="C467" s="106"/>
      <c r="D467" s="105"/>
      <c r="E467" s="147">
        <f>SUM(E460:E463)</f>
        <v>0</v>
      </c>
    </row>
    <row r="468" spans="1:7" x14ac:dyDescent="0.35">
      <c r="C468" s="48"/>
      <c r="E468" s="140"/>
    </row>
    <row r="469" spans="1:7" ht="16" x14ac:dyDescent="0.4">
      <c r="A469" s="108" t="str">
        <f>"Total sur 3 ans ("&amp;Currency&amp;")"</f>
        <v>Total sur 3 ans ()</v>
      </c>
      <c r="B469" s="109"/>
      <c r="C469" s="135"/>
      <c r="D469" s="135"/>
      <c r="E469" s="136">
        <f>SUM(E465:E467)</f>
        <v>0</v>
      </c>
    </row>
    <row r="470" spans="1:7" ht="15" thickBot="1" x14ac:dyDescent="0.4"/>
    <row r="471" spans="1:7" ht="16.5" thickBot="1" x14ac:dyDescent="0.45">
      <c r="A471" s="374" t="s">
        <v>606</v>
      </c>
      <c r="B471" s="375"/>
      <c r="C471" s="375"/>
      <c r="D471" s="375"/>
      <c r="E471" s="375"/>
      <c r="F471" s="375"/>
      <c r="G471" s="376"/>
    </row>
    <row r="472" spans="1:7" x14ac:dyDescent="0.35">
      <c r="A472" s="2"/>
      <c r="D472" s="48"/>
      <c r="F472" s="237"/>
    </row>
    <row r="473" spans="1:7" x14ac:dyDescent="0.35">
      <c r="A473" s="163" t="s">
        <v>536</v>
      </c>
    </row>
    <row r="474" spans="1:7" s="25" customFormat="1" ht="29" x14ac:dyDescent="0.35">
      <c r="A474" s="58" t="s">
        <v>537</v>
      </c>
      <c r="B474" s="58" t="s">
        <v>538</v>
      </c>
      <c r="C474" s="58" t="s">
        <v>592</v>
      </c>
      <c r="D474" s="57" t="str">
        <f>"Coût au débarquement par boîte ("&amp;Currency&amp;")"</f>
        <v>Coût au débarquement par boîte ()</v>
      </c>
      <c r="E474" s="57" t="str">
        <f>"Coût total ("&amp;Currency&amp;")"</f>
        <v>Coût total ()</v>
      </c>
    </row>
    <row r="475" spans="1:7" x14ac:dyDescent="0.35">
      <c r="A475" s="13" t="str">
        <f>IF(Effective_Other_BPG_Freq="Annuel","Année 1","")</f>
        <v/>
      </c>
      <c r="B475" s="13" t="str">
        <f>IF(Effective_Other_BPG_Freq="Annuel",1,"")</f>
        <v/>
      </c>
      <c r="C475" s="14" t="str">
        <f>IF(Effective_Other_BPG_Freq="Annuel",IF(Other_Population="",0,Y1_Other_BPG_Packs),"")</f>
        <v/>
      </c>
      <c r="D475" s="13" t="str">
        <f>IF(Effective_Other_BPG_Freq="Annuel",BPG_LandedCostPerPack,"")</f>
        <v/>
      </c>
      <c r="E475" s="70" t="str">
        <f>IF(Effective_Other_BPG_Freq="Annuel",IF(Other_Population="",0,Y1_Other_BPG_Packs)*BPG_LandedCostPerPack,"")</f>
        <v/>
      </c>
    </row>
    <row r="476" spans="1:7" x14ac:dyDescent="0.35">
      <c r="A476" s="13" t="str">
        <f>IF(Effective_Other_BPG_Freq="Annuel","Année 2","")</f>
        <v/>
      </c>
      <c r="B476" s="13" t="str">
        <f>IF(Effective_Other_BPG_Freq="Annuel",2,"")</f>
        <v/>
      </c>
      <c r="C476" s="14" t="str">
        <f>IF(Effective_Other_BPG_Freq="Annuel",IF(Other_Population="",0,Y2_Other_BPG_Packs),"")</f>
        <v/>
      </c>
      <c r="D476" s="13" t="str">
        <f>IF(Effective_Other_BPG_Freq="Annuel",BPG_LandedCostPerPack,"")</f>
        <v/>
      </c>
      <c r="E476" s="70" t="str">
        <f>IF(Effective_Other_BPG_Freq="Annuel",IF(Other_Population="",0,Y2_Other_BPG_Packs)*BPG_LandedCostPerPack,"")</f>
        <v/>
      </c>
    </row>
    <row r="477" spans="1:7" x14ac:dyDescent="0.35">
      <c r="A477" s="13" t="str">
        <f>IF(Effective_Other_BPG_Freq="Annuel","Année 3","")</f>
        <v/>
      </c>
      <c r="B477" s="13" t="str">
        <f>IF(Effective_Other_BPG_Freq="Annuel",3,"")</f>
        <v/>
      </c>
      <c r="C477" s="14" t="str">
        <f>IF(Effective_Other_BPG_Freq="Annuel",IF(Other_Population="",0,Y3_Other_BPG_Packs),"")</f>
        <v/>
      </c>
      <c r="D477" s="13" t="str">
        <f>IF(Effective_Other_BPG_Freq="Annuel",BPG_LandedCostPerPack,"")</f>
        <v/>
      </c>
      <c r="E477" s="70" t="str">
        <f>IF(Effective_Other_BPG_Freq="Annuel",IF(Other_Population="",0,Y3_Other_BPG_Packs)*BPG_LandedCostPerPack,"")</f>
        <v/>
      </c>
    </row>
    <row r="478" spans="1:7" x14ac:dyDescent="0.35">
      <c r="A478" s="2"/>
      <c r="D478" s="48"/>
      <c r="F478" s="237"/>
    </row>
    <row r="479" spans="1:7" x14ac:dyDescent="0.35">
      <c r="A479" s="24" t="str">
        <f>"Total Année 1 ("&amp;Currency&amp;")"</f>
        <v>Total Année 1 ()</v>
      </c>
      <c r="B479" s="105"/>
      <c r="C479" s="106"/>
      <c r="D479" s="105"/>
      <c r="E479" s="147">
        <f>SUM(E475)</f>
        <v>0</v>
      </c>
      <c r="F479" s="237"/>
    </row>
    <row r="480" spans="1:7" x14ac:dyDescent="0.35">
      <c r="A480" s="24" t="str">
        <f>"Total Année 2 ("&amp;Currency&amp;")"</f>
        <v>Total Année 2 ()</v>
      </c>
      <c r="B480" s="105"/>
      <c r="C480" s="106"/>
      <c r="D480" s="105"/>
      <c r="E480" s="147">
        <f>SUM(E476)</f>
        <v>0</v>
      </c>
      <c r="F480" s="237"/>
    </row>
    <row r="481" spans="1:6" x14ac:dyDescent="0.35">
      <c r="A481" s="24" t="str">
        <f>"Total Année 3 ("&amp;Currency&amp;")"</f>
        <v>Total Année 3 ()</v>
      </c>
      <c r="B481" s="105"/>
      <c r="C481" s="106"/>
      <c r="D481" s="105"/>
      <c r="E481" s="147">
        <f>SUM(E477)</f>
        <v>0</v>
      </c>
      <c r="F481" s="237"/>
    </row>
    <row r="482" spans="1:6" x14ac:dyDescent="0.35">
      <c r="A482" s="233"/>
      <c r="B482" s="240"/>
      <c r="C482" s="48"/>
      <c r="E482" s="237"/>
      <c r="F482" s="237"/>
    </row>
    <row r="483" spans="1:6" ht="16" x14ac:dyDescent="0.4">
      <c r="A483" s="108" t="str">
        <f>"Total sur 3 ans ("&amp;Currency&amp;")"</f>
        <v>Total sur 3 ans ()</v>
      </c>
      <c r="B483" s="109"/>
      <c r="C483" s="135"/>
      <c r="D483" s="135"/>
      <c r="E483" s="136">
        <f>SUM(E479:E481)</f>
        <v>0</v>
      </c>
    </row>
    <row r="484" spans="1:6" ht="16" x14ac:dyDescent="0.4">
      <c r="A484" s="241"/>
      <c r="B484" s="241"/>
      <c r="C484" s="241"/>
      <c r="D484" s="241"/>
      <c r="E484" s="242"/>
    </row>
    <row r="485" spans="1:6" x14ac:dyDescent="0.35">
      <c r="A485" s="163" t="s">
        <v>549</v>
      </c>
    </row>
    <row r="486" spans="1:6" s="25" customFormat="1" ht="29" x14ac:dyDescent="0.35">
      <c r="A486" s="58" t="s">
        <v>537</v>
      </c>
      <c r="B486" s="58" t="s">
        <v>538</v>
      </c>
      <c r="C486" s="58" t="s">
        <v>592</v>
      </c>
      <c r="D486" s="57" t="str">
        <f>"Coût au débarquement par boîte ("&amp;Currency&amp;")"</f>
        <v>Coût au débarquement par boîte ()</v>
      </c>
      <c r="E486" s="57" t="str">
        <f>"Coût total ("&amp;Currency&amp;")"</f>
        <v>Coût total ()</v>
      </c>
    </row>
    <row r="487" spans="1:6" x14ac:dyDescent="0.35">
      <c r="A487" s="13" t="str">
        <f>IF(Effective_Other_BPG_Freq="semestriel","S1","")</f>
        <v/>
      </c>
      <c r="B487" s="13" t="str">
        <f>IF(Effective_Other_BPG_Freq="semestriel",1,"")</f>
        <v/>
      </c>
      <c r="C487" s="14" t="str">
        <f>IF(Effective_Other_BPG_Freq="semestriel",IF(Other_Population="",0,Quantification!$L$454),"")</f>
        <v/>
      </c>
      <c r="D487" s="13" t="str">
        <f t="shared" ref="D487:D492" si="39">IF(Effective_Other_BPG_Freq="semestriel",BPG_LandedCostPerPack,"")</f>
        <v/>
      </c>
      <c r="E487" s="70" t="str">
        <f t="shared" ref="E487:E492" si="40">IF(Effective_Other_BPG_Freq="semestriel",IF(Other_Population="",0,C487)*D487,"")</f>
        <v/>
      </c>
    </row>
    <row r="488" spans="1:6" x14ac:dyDescent="0.35">
      <c r="A488" s="13" t="str">
        <f>IF(Effective_Other_BPG_Freq="semestriel","S2","")</f>
        <v/>
      </c>
      <c r="B488" s="13" t="str">
        <f>IF(Effective_Other_BPG_Freq="semestriel",1,"")</f>
        <v/>
      </c>
      <c r="C488" s="14" t="str">
        <f>IF(Effective_Other_BPG_Freq="semestriel",IF(Other_Population="",0,Quantification!$L$455),"")</f>
        <v/>
      </c>
      <c r="D488" s="13" t="str">
        <f t="shared" si="39"/>
        <v/>
      </c>
      <c r="E488" s="70" t="str">
        <f t="shared" si="40"/>
        <v/>
      </c>
    </row>
    <row r="489" spans="1:6" x14ac:dyDescent="0.35">
      <c r="A489" s="13" t="str">
        <f>IF(Effective_Other_BPG_Freq="semestriel","S1","")</f>
        <v/>
      </c>
      <c r="B489" s="13" t="str">
        <f>IF(Effective_Other_BPG_Freq="semestriel",2,"")</f>
        <v/>
      </c>
      <c r="C489" s="14" t="str">
        <f>IF(Effective_Other_BPG_Freq="semestriel",IF(Other_Population="",0,Quantification!$L$456),"")</f>
        <v/>
      </c>
      <c r="D489" s="13" t="str">
        <f t="shared" si="39"/>
        <v/>
      </c>
      <c r="E489" s="70" t="str">
        <f t="shared" si="40"/>
        <v/>
      </c>
    </row>
    <row r="490" spans="1:6" x14ac:dyDescent="0.35">
      <c r="A490" s="13" t="str">
        <f>IF(Effective_Other_BPG_Freq="semestriel","S2","")</f>
        <v/>
      </c>
      <c r="B490" s="13" t="str">
        <f>IF(Effective_Other_BPG_Freq="semestriel",2,"")</f>
        <v/>
      </c>
      <c r="C490" s="14" t="str">
        <f>IF(Effective_Other_BPG_Freq="semestriel",IF(Other_Population="",0,Quantification!$L$457),"")</f>
        <v/>
      </c>
      <c r="D490" s="13" t="str">
        <f t="shared" si="39"/>
        <v/>
      </c>
      <c r="E490" s="70" t="str">
        <f t="shared" si="40"/>
        <v/>
      </c>
    </row>
    <row r="491" spans="1:6" x14ac:dyDescent="0.35">
      <c r="A491" s="13" t="str">
        <f>IF(Effective_Other_BPG_Freq="semestriel","S1","")</f>
        <v/>
      </c>
      <c r="B491" s="13" t="str">
        <f>IF(Effective_Other_BPG_Freq="semestriel",3,"")</f>
        <v/>
      </c>
      <c r="C491" s="14" t="str">
        <f>IF(Effective_Other_BPG_Freq="semestriel",IF(Other_Population="",0,Quantification!$L$458),"")</f>
        <v/>
      </c>
      <c r="D491" s="13" t="str">
        <f t="shared" si="39"/>
        <v/>
      </c>
      <c r="E491" s="70" t="str">
        <f t="shared" si="40"/>
        <v/>
      </c>
    </row>
    <row r="492" spans="1:6" x14ac:dyDescent="0.35">
      <c r="A492" s="13" t="str">
        <f>IF(Effective_Other_BPG_Freq="semestriel","S2","")</f>
        <v/>
      </c>
      <c r="B492" s="13" t="str">
        <f>IF(Effective_Other_BPG_Freq="semestriel",3,"")</f>
        <v/>
      </c>
      <c r="C492" s="14" t="str">
        <f>IF(Effective_Other_BPG_Freq="semestriel",IF(Other_Population="",0,Quantification!$L$459),"")</f>
        <v/>
      </c>
      <c r="D492" s="13" t="str">
        <f t="shared" si="39"/>
        <v/>
      </c>
      <c r="E492" s="70" t="str">
        <f t="shared" si="40"/>
        <v/>
      </c>
    </row>
    <row r="493" spans="1:6" x14ac:dyDescent="0.35">
      <c r="A493" s="2"/>
      <c r="D493" s="48"/>
      <c r="F493" s="237"/>
    </row>
    <row r="494" spans="1:6" x14ac:dyDescent="0.35">
      <c r="A494" s="24" t="str">
        <f>"Total Année 1 ("&amp;Currency&amp;")"</f>
        <v>Total Année 1 ()</v>
      </c>
      <c r="B494" s="105"/>
      <c r="C494" s="106"/>
      <c r="D494" s="105"/>
      <c r="E494" s="147">
        <f>SUM(E487:E488)</f>
        <v>0</v>
      </c>
      <c r="F494" s="237"/>
    </row>
    <row r="495" spans="1:6" x14ac:dyDescent="0.35">
      <c r="A495" s="24" t="str">
        <f>"Total Année 2 ("&amp;Currency&amp;")"</f>
        <v>Total Année 2 ()</v>
      </c>
      <c r="B495" s="105"/>
      <c r="C495" s="106"/>
      <c r="D495" s="105"/>
      <c r="E495" s="147">
        <f>SUM(E489:E490)</f>
        <v>0</v>
      </c>
      <c r="F495" s="237"/>
    </row>
    <row r="496" spans="1:6" x14ac:dyDescent="0.35">
      <c r="A496" s="24" t="str">
        <f>"Total Année 3 ("&amp;Currency&amp;")"</f>
        <v>Total Année 3 ()</v>
      </c>
      <c r="B496" s="105"/>
      <c r="C496" s="106"/>
      <c r="D496" s="105"/>
      <c r="E496" s="147">
        <f>SUM(E491:E492)</f>
        <v>0</v>
      </c>
      <c r="F496" s="237"/>
    </row>
    <row r="497" spans="1:6" x14ac:dyDescent="0.35">
      <c r="C497" s="48"/>
      <c r="E497" s="140"/>
      <c r="F497" s="237"/>
    </row>
    <row r="498" spans="1:6" ht="16" x14ac:dyDescent="0.4">
      <c r="A498" s="108" t="str">
        <f>"Total sur 3 ans ("&amp;Currency&amp;")"</f>
        <v>Total sur 3 ans ()</v>
      </c>
      <c r="B498" s="109"/>
      <c r="C498" s="135"/>
      <c r="D498" s="135"/>
      <c r="E498" s="136">
        <f>SUM(E494:E496)</f>
        <v>0</v>
      </c>
      <c r="F498" s="237"/>
    </row>
    <row r="499" spans="1:6" x14ac:dyDescent="0.35">
      <c r="A499" s="2"/>
      <c r="D499" s="48"/>
      <c r="F499" s="237"/>
    </row>
    <row r="500" spans="1:6" x14ac:dyDescent="0.35">
      <c r="A500" s="163" t="s">
        <v>550</v>
      </c>
    </row>
    <row r="501" spans="1:6" s="25" customFormat="1" ht="29" x14ac:dyDescent="0.35">
      <c r="A501" s="58" t="s">
        <v>537</v>
      </c>
      <c r="B501" s="58" t="s">
        <v>538</v>
      </c>
      <c r="C501" s="58" t="s">
        <v>592</v>
      </c>
      <c r="D501" s="57" t="str">
        <f>"Coût au débarquement par boîte ("&amp;Currency&amp;")"</f>
        <v>Coût au débarquement par boîte ()</v>
      </c>
      <c r="E501" s="57" t="str">
        <f>"Coût total ("&amp;Currency&amp;")"</f>
        <v>Coût total ()</v>
      </c>
    </row>
    <row r="502" spans="1:6" x14ac:dyDescent="0.35">
      <c r="A502" s="13" t="str">
        <f>IF(Effective_Other_BPG_Freq="trimestriel","T1","")</f>
        <v/>
      </c>
      <c r="B502" s="13" t="str">
        <f>IF(Effective_Other_BPG_Freq="trimestriel",1,"")</f>
        <v/>
      </c>
      <c r="C502" s="14" t="str">
        <f>IF(Effective_Other_BPG_Freq="trimestriel",IF(Other_Population="",0,Quantification!L469),"")</f>
        <v/>
      </c>
      <c r="D502" s="13" t="str">
        <f t="shared" ref="D502:D513" si="41">IF(Effective_Other_BPG_Freq="trimestriel",BPG_LandedCostPerPack,"")</f>
        <v/>
      </c>
      <c r="E502" s="70" t="str">
        <f t="shared" ref="E502:E513" si="42">IF(Effective_Other_BPG_Freq="trimestriel",IF(Other_Population="",0,C502)*D502,"")</f>
        <v/>
      </c>
    </row>
    <row r="503" spans="1:6" x14ac:dyDescent="0.35">
      <c r="A503" s="13" t="str">
        <f>IF(Effective_Other_BPG_Freq="trimestriel","T2","")</f>
        <v/>
      </c>
      <c r="B503" s="13" t="str">
        <f>IF(Effective_Other_BPG_Freq="trimestriel",1,"")</f>
        <v/>
      </c>
      <c r="C503" s="14" t="str">
        <f>IF(Effective_Other_BPG_Freq="trimestriel",IF(Other_Population="",0,Quantification!L470),"")</f>
        <v/>
      </c>
      <c r="D503" s="13" t="str">
        <f t="shared" si="41"/>
        <v/>
      </c>
      <c r="E503" s="70" t="str">
        <f t="shared" si="42"/>
        <v/>
      </c>
    </row>
    <row r="504" spans="1:6" x14ac:dyDescent="0.35">
      <c r="A504" s="13" t="str">
        <f>IF(Effective_Other_BPG_Freq="trimestriel","T3","")</f>
        <v/>
      </c>
      <c r="B504" s="13" t="str">
        <f>IF(Effective_Other_BPG_Freq="trimestriel",1,"")</f>
        <v/>
      </c>
      <c r="C504" s="14" t="str">
        <f>IF(Effective_Other_BPG_Freq="trimestriel",IF(Other_Population="",0,Quantification!L471),"")</f>
        <v/>
      </c>
      <c r="D504" s="13" t="str">
        <f t="shared" si="41"/>
        <v/>
      </c>
      <c r="E504" s="70" t="str">
        <f t="shared" si="42"/>
        <v/>
      </c>
    </row>
    <row r="505" spans="1:6" x14ac:dyDescent="0.35">
      <c r="A505" s="13" t="str">
        <f>IF(Effective_Other_BPG_Freq="trimestriel","T4","")</f>
        <v/>
      </c>
      <c r="B505" s="13" t="str">
        <f>IF(Effective_Other_BPG_Freq="trimestriel",1,"")</f>
        <v/>
      </c>
      <c r="C505" s="14" t="str">
        <f>IF(Effective_Other_BPG_Freq="trimestriel",IF(Other_Population="",0,Quantification!L472),"")</f>
        <v/>
      </c>
      <c r="D505" s="13" t="str">
        <f t="shared" si="41"/>
        <v/>
      </c>
      <c r="E505" s="70" t="str">
        <f t="shared" si="42"/>
        <v/>
      </c>
    </row>
    <row r="506" spans="1:6" x14ac:dyDescent="0.35">
      <c r="A506" s="13" t="str">
        <f>IF(Effective_Other_BPG_Freq="trimestriel","T1","")</f>
        <v/>
      </c>
      <c r="B506" s="13" t="str">
        <f>IF(Effective_Other_BPG_Freq="trimestriel",2,"")</f>
        <v/>
      </c>
      <c r="C506" s="14" t="str">
        <f>IF(Effective_Other_BPG_Freq="trimestriel",IF(Other_Population="",0,Quantification!L473),"")</f>
        <v/>
      </c>
      <c r="D506" s="13" t="str">
        <f t="shared" si="41"/>
        <v/>
      </c>
      <c r="E506" s="70" t="str">
        <f t="shared" si="42"/>
        <v/>
      </c>
    </row>
    <row r="507" spans="1:6" x14ac:dyDescent="0.35">
      <c r="A507" s="13" t="str">
        <f>IF(Effective_Other_BPG_Freq="trimestriel","T2","")</f>
        <v/>
      </c>
      <c r="B507" s="13" t="str">
        <f>IF(Effective_Other_BPG_Freq="trimestriel",2,"")</f>
        <v/>
      </c>
      <c r="C507" s="14" t="str">
        <f>IF(Effective_Other_BPG_Freq="trimestriel",IF(Other_Population="",0,Quantification!L474),"")</f>
        <v/>
      </c>
      <c r="D507" s="13" t="str">
        <f t="shared" si="41"/>
        <v/>
      </c>
      <c r="E507" s="70" t="str">
        <f t="shared" si="42"/>
        <v/>
      </c>
    </row>
    <row r="508" spans="1:6" x14ac:dyDescent="0.35">
      <c r="A508" s="13" t="str">
        <f>IF(Effective_Other_BPG_Freq="trimestriel","T3","")</f>
        <v/>
      </c>
      <c r="B508" s="13" t="str">
        <f>IF(Effective_Other_BPG_Freq="trimestriel",2,"")</f>
        <v/>
      </c>
      <c r="C508" s="14" t="str">
        <f>IF(Effective_Other_BPG_Freq="trimestriel",IF(Other_Population="",0,Quantification!L475),"")</f>
        <v/>
      </c>
      <c r="D508" s="13" t="str">
        <f t="shared" si="41"/>
        <v/>
      </c>
      <c r="E508" s="70" t="str">
        <f t="shared" si="42"/>
        <v/>
      </c>
    </row>
    <row r="509" spans="1:6" x14ac:dyDescent="0.35">
      <c r="A509" s="13" t="str">
        <f>IF(Effective_Other_BPG_Freq="trimestriel","T4","")</f>
        <v/>
      </c>
      <c r="B509" s="13" t="str">
        <f>IF(Effective_Other_BPG_Freq="trimestriel",2,"")</f>
        <v/>
      </c>
      <c r="C509" s="14" t="str">
        <f>IF(Effective_Other_BPG_Freq="trimestriel",IF(Other_Population="",0,Quantification!L476),"")</f>
        <v/>
      </c>
      <c r="D509" s="13" t="str">
        <f t="shared" si="41"/>
        <v/>
      </c>
      <c r="E509" s="70" t="str">
        <f t="shared" si="42"/>
        <v/>
      </c>
    </row>
    <row r="510" spans="1:6" x14ac:dyDescent="0.35">
      <c r="A510" s="13" t="str">
        <f>IF(Effective_Other_BPG_Freq="trimestriel","T1","")</f>
        <v/>
      </c>
      <c r="B510" s="13" t="str">
        <f>IF(Effective_Other_BPG_Freq="trimestriel",3,"")</f>
        <v/>
      </c>
      <c r="C510" s="14" t="str">
        <f>IF(Effective_Other_BPG_Freq="trimestriel",IF(Other_Population="",0,Quantification!L477),"")</f>
        <v/>
      </c>
      <c r="D510" s="13" t="str">
        <f t="shared" si="41"/>
        <v/>
      </c>
      <c r="E510" s="70" t="str">
        <f t="shared" si="42"/>
        <v/>
      </c>
    </row>
    <row r="511" spans="1:6" x14ac:dyDescent="0.35">
      <c r="A511" s="13" t="str">
        <f>IF(Effective_Other_BPG_Freq="trimestriel","T2","")</f>
        <v/>
      </c>
      <c r="B511" s="13" t="str">
        <f>IF(Effective_Other_BPG_Freq="trimestriel",3,"")</f>
        <v/>
      </c>
      <c r="C511" s="14" t="str">
        <f>IF(Effective_Other_BPG_Freq="trimestriel",IF(Other_Population="",0,Quantification!L478),"")</f>
        <v/>
      </c>
      <c r="D511" s="13" t="str">
        <f t="shared" si="41"/>
        <v/>
      </c>
      <c r="E511" s="70" t="str">
        <f t="shared" si="42"/>
        <v/>
      </c>
    </row>
    <row r="512" spans="1:6" x14ac:dyDescent="0.35">
      <c r="A512" s="13" t="str">
        <f>IF(Effective_Other_BPG_Freq="trimestriel","T3","")</f>
        <v/>
      </c>
      <c r="B512" s="13" t="str">
        <f>IF(Effective_Other_BPG_Freq="trimestriel",3,"")</f>
        <v/>
      </c>
      <c r="C512" s="14" t="str">
        <f>IF(Effective_Other_BPG_Freq="trimestriel",IF(Other_Population="",0,Quantification!L479),"")</f>
        <v/>
      </c>
      <c r="D512" s="13" t="str">
        <f t="shared" si="41"/>
        <v/>
      </c>
      <c r="E512" s="70" t="str">
        <f t="shared" si="42"/>
        <v/>
      </c>
    </row>
    <row r="513" spans="1:7" x14ac:dyDescent="0.35">
      <c r="A513" s="13" t="str">
        <f>IF(Effective_Other_BPG_Freq="trimestriel","T4","")</f>
        <v/>
      </c>
      <c r="B513" s="13" t="str">
        <f>IF(Effective_Other_BPG_Freq="trimestriel",3,"")</f>
        <v/>
      </c>
      <c r="C513" s="14" t="str">
        <f>IF(Effective_Other_BPG_Freq="trimestriel",IF(Other_Population="",0,Quantification!L480),"")</f>
        <v/>
      </c>
      <c r="D513" s="13" t="str">
        <f t="shared" si="41"/>
        <v/>
      </c>
      <c r="E513" s="70" t="str">
        <f t="shared" si="42"/>
        <v/>
      </c>
    </row>
    <row r="514" spans="1:7" x14ac:dyDescent="0.35">
      <c r="A514" s="2"/>
      <c r="D514" s="48"/>
      <c r="F514" s="237"/>
    </row>
    <row r="515" spans="1:7" x14ac:dyDescent="0.35">
      <c r="A515" s="24" t="str">
        <f>"Total Année 1 ("&amp;Currency&amp;")"</f>
        <v>Total Année 1 ()</v>
      </c>
      <c r="B515" s="105"/>
      <c r="C515" s="106"/>
      <c r="D515" s="105"/>
      <c r="E515" s="147">
        <f>SUM(E502:E505)</f>
        <v>0</v>
      </c>
    </row>
    <row r="516" spans="1:7" x14ac:dyDescent="0.35">
      <c r="A516" s="24" t="str">
        <f>"Total Année 2 ("&amp;Currency&amp;")"</f>
        <v>Total Année 2 ()</v>
      </c>
      <c r="B516" s="105"/>
      <c r="C516" s="106"/>
      <c r="D516" s="105"/>
      <c r="E516" s="147">
        <f>SUM(E506:E509)</f>
        <v>0</v>
      </c>
    </row>
    <row r="517" spans="1:7" x14ac:dyDescent="0.35">
      <c r="A517" s="24" t="str">
        <f>"Total Année 3 ("&amp;Currency&amp;")"</f>
        <v>Total Année 3 ()</v>
      </c>
      <c r="B517" s="105"/>
      <c r="C517" s="106"/>
      <c r="D517" s="105"/>
      <c r="E517" s="147">
        <f>SUM(E510:E513)</f>
        <v>0</v>
      </c>
    </row>
    <row r="518" spans="1:7" x14ac:dyDescent="0.35">
      <c r="C518" s="48"/>
      <c r="E518" s="140"/>
    </row>
    <row r="519" spans="1:7" ht="16" x14ac:dyDescent="0.4">
      <c r="A519" s="108" t="str">
        <f>"Total sur 3 ans ("&amp;Currency&amp;")"</f>
        <v>Total sur 3 ans ()</v>
      </c>
      <c r="B519" s="109"/>
      <c r="C519" s="135"/>
      <c r="D519" s="135"/>
      <c r="E519" s="136">
        <f>SUM(E515:E517)</f>
        <v>0</v>
      </c>
    </row>
    <row r="520" spans="1:7" ht="15" thickBot="1" x14ac:dyDescent="0.4"/>
    <row r="521" spans="1:7" ht="16.5" thickBot="1" x14ac:dyDescent="0.45">
      <c r="A521" s="374" t="s">
        <v>607</v>
      </c>
      <c r="B521" s="375"/>
      <c r="C521" s="375"/>
      <c r="D521" s="375"/>
      <c r="E521" s="375"/>
      <c r="F521" s="375"/>
      <c r="G521" s="376"/>
    </row>
    <row r="522" spans="1:7" x14ac:dyDescent="0.35">
      <c r="A522" s="2"/>
      <c r="D522" s="48"/>
      <c r="F522" s="237"/>
    </row>
    <row r="523" spans="1:7" x14ac:dyDescent="0.35">
      <c r="A523" s="163" t="s">
        <v>536</v>
      </c>
    </row>
    <row r="524" spans="1:7" s="25" customFormat="1" ht="29" x14ac:dyDescent="0.35">
      <c r="A524" s="58" t="s">
        <v>537</v>
      </c>
      <c r="B524" s="58" t="s">
        <v>538</v>
      </c>
      <c r="C524" s="58" t="s">
        <v>592</v>
      </c>
      <c r="D524" s="57" t="str">
        <f>"Coût au débarquement par boîte ("&amp;Currency&amp;")"</f>
        <v>Coût au débarquement par boîte ()</v>
      </c>
      <c r="E524" s="57" t="str">
        <f>"Coût total ("&amp;Currency&amp;")"</f>
        <v>Coût total ()</v>
      </c>
    </row>
    <row r="525" spans="1:7" x14ac:dyDescent="0.35">
      <c r="A525" s="13" t="str">
        <f>IF(Effective_Other_TDF_Freq="Annuel","Année 1","")</f>
        <v/>
      </c>
      <c r="B525" s="13" t="str">
        <f>IF(Effective_Other_TDF_Freq="Annuel",1,"")</f>
        <v/>
      </c>
      <c r="C525" s="14" t="str">
        <f>IF(Effective_Other_TDF_Freq="Annuel",IF(HBV_Other_Population="",0,Y1_Other_TDF_Packs),"")</f>
        <v/>
      </c>
      <c r="D525" s="227" t="str">
        <f>IF(Effective_Other_TDF_Freq="Annuel",TDF_LandedCostPerPack,"")</f>
        <v/>
      </c>
      <c r="E525" s="70" t="str">
        <f>IF(Effective_Other_TDF_Freq="Annuel",IF(HBV_Other_Population="",0,Y1_Other_TDF_Packs)*TDF_LandedCostPerPack,"")</f>
        <v/>
      </c>
    </row>
    <row r="526" spans="1:7" x14ac:dyDescent="0.35">
      <c r="A526" s="13" t="str">
        <f>IF(Effective_Other_TDF_Freq="Annuel","Année 2","")</f>
        <v/>
      </c>
      <c r="B526" s="13" t="str">
        <f>IF(Effective_Other_TDF_Freq="Annuel",2,"")</f>
        <v/>
      </c>
      <c r="C526" s="14" t="str">
        <f>IF(Effective_Other_TDF_Freq="Annuel",IF(HBV_Other_Population="",0,Y2_Other_TDF_Packs),"")</f>
        <v/>
      </c>
      <c r="D526" s="227" t="str">
        <f>IF(Effective_Other_TDF_Freq="Annuel",TDF_LandedCostPerPack,"")</f>
        <v/>
      </c>
      <c r="E526" s="70" t="str">
        <f>IF(Effective_Other_TDF_Freq="Annuel",IF(HBV_Other_Population="",0,Y2_Other_TDF_Packs)*TDF_LandedCostPerPack,"")</f>
        <v/>
      </c>
    </row>
    <row r="527" spans="1:7" x14ac:dyDescent="0.35">
      <c r="A527" s="13" t="str">
        <f>IF(Effective_Other_TDF_Freq="Annuel","Année 3","")</f>
        <v/>
      </c>
      <c r="B527" s="13" t="str">
        <f>IF(Effective_Other_TDF_Freq="Annuel",3,"")</f>
        <v/>
      </c>
      <c r="C527" s="14" t="str">
        <f>IF(Effective_Other_TDF_Freq="Annuel",IF(HBV_Other_Population="",0,Y3_Other_TDF_Packs),"")</f>
        <v/>
      </c>
      <c r="D527" s="227" t="str">
        <f>IF(Effective_Other_TDF_Freq="Annuel",TDF_LandedCostPerPack,"")</f>
        <v/>
      </c>
      <c r="E527" s="70" t="str">
        <f>IF(Effective_Other_TDF_Freq="Annuel",IF(HBV_Other_Population="",0,Y3_Other_TDF_Packs)*TDF_LandedCostPerPack,"")</f>
        <v/>
      </c>
    </row>
    <row r="528" spans="1:7" x14ac:dyDescent="0.35">
      <c r="A528" s="2"/>
      <c r="D528" s="48"/>
      <c r="F528" s="237"/>
    </row>
    <row r="529" spans="1:6" x14ac:dyDescent="0.35">
      <c r="A529" s="24" t="str">
        <f>"Total Année 1 ("&amp;Currency&amp;")"</f>
        <v>Total Année 1 ()</v>
      </c>
      <c r="B529" s="105"/>
      <c r="C529" s="106"/>
      <c r="D529" s="105"/>
      <c r="E529" s="147" t="str">
        <f>E525</f>
        <v/>
      </c>
      <c r="F529" s="237"/>
    </row>
    <row r="530" spans="1:6" x14ac:dyDescent="0.35">
      <c r="A530" s="24" t="str">
        <f>"Total Année 2 ("&amp;Currency&amp;")"</f>
        <v>Total Année 2 ()</v>
      </c>
      <c r="B530" s="105"/>
      <c r="C530" s="106"/>
      <c r="D530" s="105"/>
      <c r="E530" s="147" t="str">
        <f>E526</f>
        <v/>
      </c>
      <c r="F530" s="237"/>
    </row>
    <row r="531" spans="1:6" x14ac:dyDescent="0.35">
      <c r="A531" s="24" t="str">
        <f>"Total Année 3 ("&amp;Currency&amp;")"</f>
        <v>Total Année 3 ()</v>
      </c>
      <c r="B531" s="105"/>
      <c r="C531" s="106"/>
      <c r="D531" s="105"/>
      <c r="E531" s="147" t="str">
        <f>E527</f>
        <v/>
      </c>
      <c r="F531" s="237"/>
    </row>
    <row r="532" spans="1:6" x14ac:dyDescent="0.35">
      <c r="A532" s="233"/>
      <c r="B532" s="240"/>
      <c r="C532" s="48"/>
      <c r="E532" s="237"/>
      <c r="F532" s="237"/>
    </row>
    <row r="533" spans="1:6" ht="16" x14ac:dyDescent="0.4">
      <c r="A533" s="108" t="str">
        <f>"Total sur 3 ans ("&amp;Currency&amp;")"</f>
        <v>Total sur 3 ans ()</v>
      </c>
      <c r="B533" s="109"/>
      <c r="C533" s="135"/>
      <c r="D533" s="135"/>
      <c r="E533" s="136">
        <f>SUM(E529:E531)</f>
        <v>0</v>
      </c>
    </row>
    <row r="534" spans="1:6" ht="16" x14ac:dyDescent="0.4">
      <c r="A534" s="241"/>
      <c r="B534" s="241"/>
      <c r="C534" s="241"/>
      <c r="D534" s="241"/>
      <c r="E534" s="242"/>
    </row>
    <row r="535" spans="1:6" x14ac:dyDescent="0.35">
      <c r="A535" s="163" t="s">
        <v>549</v>
      </c>
    </row>
    <row r="536" spans="1:6" s="25" customFormat="1" ht="29" x14ac:dyDescent="0.35">
      <c r="A536" s="58" t="s">
        <v>537</v>
      </c>
      <c r="B536" s="58" t="s">
        <v>538</v>
      </c>
      <c r="C536" s="58" t="s">
        <v>592</v>
      </c>
      <c r="D536" s="57" t="str">
        <f>"Coût au débarquement par boîte ("&amp;Currency&amp;")"</f>
        <v>Coût au débarquement par boîte ()</v>
      </c>
      <c r="E536" s="57" t="str">
        <f>"Coût total ("&amp;Currency&amp;")"</f>
        <v>Coût total ()</v>
      </c>
    </row>
    <row r="537" spans="1:6" x14ac:dyDescent="0.35">
      <c r="A537" s="13" t="str">
        <f>IF(Effective_Other_TDF_Freq="semestriel","S1","")</f>
        <v/>
      </c>
      <c r="B537" s="13" t="str">
        <f>IF(Effective_Other_TDF_Freq="semestriel",1,"")</f>
        <v/>
      </c>
      <c r="C537" s="14" t="str">
        <f>IF(Effective_Other_TDF_Freq="semestriel",IF(HBV_Other_Population="",0,Quantification!M505),"")</f>
        <v/>
      </c>
      <c r="D537" s="227" t="str">
        <f t="shared" ref="D537:D542" si="43">IF(Effective_Other_TDF_Freq="semestriel",TDF_LandedCostPerPack,"")</f>
        <v/>
      </c>
      <c r="E537" s="70" t="str">
        <f t="shared" ref="E537:E542" si="44">IF(Effective_Other_TDF_Freq="semestriel",IF(HBV_Other_Population="",0,C537)*D537,"")</f>
        <v/>
      </c>
    </row>
    <row r="538" spans="1:6" x14ac:dyDescent="0.35">
      <c r="A538" s="13" t="str">
        <f>IF(Effective_Other_TDF_Freq="semestriel","S2","")</f>
        <v/>
      </c>
      <c r="B538" s="13" t="str">
        <f>IF(Effective_Other_TDF_Freq="semestriel",1,"")</f>
        <v/>
      </c>
      <c r="C538" s="14" t="str">
        <f>IF(Effective_Other_TDF_Freq="semestriel",IF(HBV_Other_Population="",0,Quantification!M506),"")</f>
        <v/>
      </c>
      <c r="D538" s="227" t="str">
        <f t="shared" si="43"/>
        <v/>
      </c>
      <c r="E538" s="70" t="str">
        <f t="shared" si="44"/>
        <v/>
      </c>
    </row>
    <row r="539" spans="1:6" x14ac:dyDescent="0.35">
      <c r="A539" s="13" t="str">
        <f>IF(Effective_Other_TDF_Freq="semestriel","S1","")</f>
        <v/>
      </c>
      <c r="B539" s="13" t="str">
        <f>IF(Effective_Other_TDF_Freq="semestriel",2,"")</f>
        <v/>
      </c>
      <c r="C539" s="14" t="str">
        <f>IF(Effective_Other_TDF_Freq="semestriel",IF(HBV_Other_Population="",0,Quantification!M507),"")</f>
        <v/>
      </c>
      <c r="D539" s="227" t="str">
        <f t="shared" si="43"/>
        <v/>
      </c>
      <c r="E539" s="70" t="str">
        <f t="shared" si="44"/>
        <v/>
      </c>
    </row>
    <row r="540" spans="1:6" x14ac:dyDescent="0.35">
      <c r="A540" s="13" t="str">
        <f>IF(Effective_Other_TDF_Freq="semestriel","S2","")</f>
        <v/>
      </c>
      <c r="B540" s="13" t="str">
        <f>IF(Effective_Other_TDF_Freq="semestriel",2,"")</f>
        <v/>
      </c>
      <c r="C540" s="14" t="str">
        <f>IF(Effective_Other_TDF_Freq="semestriel",IF(HBV_Other_Population="",0,Quantification!M508),"")</f>
        <v/>
      </c>
      <c r="D540" s="227" t="str">
        <f t="shared" si="43"/>
        <v/>
      </c>
      <c r="E540" s="70" t="str">
        <f t="shared" si="44"/>
        <v/>
      </c>
    </row>
    <row r="541" spans="1:6" x14ac:dyDescent="0.35">
      <c r="A541" s="13" t="str">
        <f>IF(Effective_Other_TDF_Freq="semestriel","S1","")</f>
        <v/>
      </c>
      <c r="B541" s="13" t="str">
        <f>IF(Effective_Other_TDF_Freq="semestriel",3,"")</f>
        <v/>
      </c>
      <c r="C541" s="14" t="str">
        <f>IF(Effective_Other_TDF_Freq="semestriel",IF(HBV_Other_Population="",0,Quantification!M509),"")</f>
        <v/>
      </c>
      <c r="D541" s="227" t="str">
        <f t="shared" si="43"/>
        <v/>
      </c>
      <c r="E541" s="70" t="str">
        <f t="shared" si="44"/>
        <v/>
      </c>
    </row>
    <row r="542" spans="1:6" x14ac:dyDescent="0.35">
      <c r="A542" s="13" t="str">
        <f>IF(Effective_Other_TDF_Freq="semestriel","S2","")</f>
        <v/>
      </c>
      <c r="B542" s="13" t="str">
        <f>IF(Effective_Other_TDF_Freq="semestriel",3,"")</f>
        <v/>
      </c>
      <c r="C542" s="14" t="str">
        <f>IF(Effective_Other_TDF_Freq="semestriel",IF(HBV_Other_Population="",0,Quantification!M510),"")</f>
        <v/>
      </c>
      <c r="D542" s="227" t="str">
        <f t="shared" si="43"/>
        <v/>
      </c>
      <c r="E542" s="70" t="str">
        <f t="shared" si="44"/>
        <v/>
      </c>
    </row>
    <row r="543" spans="1:6" x14ac:dyDescent="0.35">
      <c r="A543" s="2"/>
      <c r="D543" s="48"/>
      <c r="F543" s="237"/>
    </row>
    <row r="544" spans="1:6" x14ac:dyDescent="0.35">
      <c r="A544" s="24" t="str">
        <f>"Total Année 1 ("&amp;Currency&amp;")"</f>
        <v>Total Année 1 ()</v>
      </c>
      <c r="B544" s="105"/>
      <c r="C544" s="106"/>
      <c r="D544" s="105"/>
      <c r="E544" s="147">
        <f>SUM(E537:E538)</f>
        <v>0</v>
      </c>
      <c r="F544" s="237"/>
    </row>
    <row r="545" spans="1:6" x14ac:dyDescent="0.35">
      <c r="A545" s="24" t="str">
        <f>"Total Année 2 ("&amp;Currency&amp;")"</f>
        <v>Total Année 2 ()</v>
      </c>
      <c r="B545" s="105"/>
      <c r="C545" s="106"/>
      <c r="D545" s="105"/>
      <c r="E545" s="147">
        <f>SUM(E539:E540)</f>
        <v>0</v>
      </c>
      <c r="F545" s="237"/>
    </row>
    <row r="546" spans="1:6" x14ac:dyDescent="0.35">
      <c r="A546" s="24" t="str">
        <f>"Total Année 3 ("&amp;Currency&amp;")"</f>
        <v>Total Année 3 ()</v>
      </c>
      <c r="B546" s="105"/>
      <c r="C546" s="106"/>
      <c r="D546" s="105"/>
      <c r="E546" s="147">
        <f>SUM(E541:E542)</f>
        <v>0</v>
      </c>
      <c r="F546" s="237"/>
    </row>
    <row r="547" spans="1:6" x14ac:dyDescent="0.35">
      <c r="C547" s="48"/>
      <c r="E547" s="140"/>
      <c r="F547" s="237"/>
    </row>
    <row r="548" spans="1:6" ht="16" x14ac:dyDescent="0.4">
      <c r="A548" s="108" t="str">
        <f>"Total sur 3 ans ("&amp;Currency&amp;")"</f>
        <v>Total sur 3 ans ()</v>
      </c>
      <c r="B548" s="109"/>
      <c r="C548" s="135"/>
      <c r="D548" s="135"/>
      <c r="E548" s="136">
        <f>SUM(E544:E546)</f>
        <v>0</v>
      </c>
      <c r="F548" s="237"/>
    </row>
    <row r="549" spans="1:6" x14ac:dyDescent="0.35">
      <c r="A549" s="2"/>
      <c r="D549" s="48"/>
      <c r="F549" s="237"/>
    </row>
    <row r="550" spans="1:6" x14ac:dyDescent="0.35">
      <c r="A550" s="163" t="s">
        <v>550</v>
      </c>
    </row>
    <row r="551" spans="1:6" s="25" customFormat="1" ht="29" x14ac:dyDescent="0.35">
      <c r="A551" s="58" t="s">
        <v>537</v>
      </c>
      <c r="B551" s="58" t="s">
        <v>538</v>
      </c>
      <c r="C551" s="58" t="s">
        <v>592</v>
      </c>
      <c r="D551" s="57" t="str">
        <f>"Coût au débarquement par boîte ("&amp;Currency&amp;")"</f>
        <v>Coût au débarquement par boîte ()</v>
      </c>
      <c r="E551" s="57" t="str">
        <f>"Coût total ("&amp;Currency&amp;")"</f>
        <v>Coût total ()</v>
      </c>
    </row>
    <row r="552" spans="1:6" x14ac:dyDescent="0.35">
      <c r="A552" s="13" t="str">
        <f>IF(Effective_Other_TDF_Freq="trimestriel","T1","")</f>
        <v/>
      </c>
      <c r="B552" s="13" t="str">
        <f>IF(Effective_Other_TDF_Freq="trimestriel",1,"")</f>
        <v/>
      </c>
      <c r="C552" s="14" t="str">
        <f>IF(Effective_Other_TDF_Freq="trimestriel",IF(Other_Population="",0,Quantification!M520),"")</f>
        <v/>
      </c>
      <c r="D552" s="227" t="str">
        <f t="shared" ref="D552:D563" si="45">IF(Effective_Other_TDF_Freq="trimestriel",TDF_LandedCostPerPack,"")</f>
        <v/>
      </c>
      <c r="E552" s="70" t="str">
        <f t="shared" ref="E552:E563" si="46">IF(Effective_Other_TDF_Freq="trimestriel",IF(HBV_Other_Population="",0,C552)*D552,"")</f>
        <v/>
      </c>
    </row>
    <row r="553" spans="1:6" x14ac:dyDescent="0.35">
      <c r="A553" s="13" t="str">
        <f>IF(Effective_Other_TDF_Freq="trimestriel","T2","")</f>
        <v/>
      </c>
      <c r="B553" s="13" t="str">
        <f>IF(Effective_Other_TDF_Freq="trimestriel",1,"")</f>
        <v/>
      </c>
      <c r="C553" s="14" t="str">
        <f>IF(Effective_Other_TDF_Freq="trimestriel",IF(Other_Population="",0,Quantification!M521),"")</f>
        <v/>
      </c>
      <c r="D553" s="227" t="str">
        <f t="shared" si="45"/>
        <v/>
      </c>
      <c r="E553" s="70" t="str">
        <f t="shared" si="46"/>
        <v/>
      </c>
    </row>
    <row r="554" spans="1:6" x14ac:dyDescent="0.35">
      <c r="A554" s="13" t="str">
        <f>IF(Effective_Other_TDF_Freq="trimestriel","T3","")</f>
        <v/>
      </c>
      <c r="B554" s="13" t="str">
        <f>IF(Effective_Other_TDF_Freq="trimestriel",1,"")</f>
        <v/>
      </c>
      <c r="C554" s="14" t="str">
        <f>IF(Effective_Other_TDF_Freq="trimestriel",IF(Other_Population="",0,Quantification!M522),"")</f>
        <v/>
      </c>
      <c r="D554" s="227" t="str">
        <f t="shared" si="45"/>
        <v/>
      </c>
      <c r="E554" s="70" t="str">
        <f t="shared" si="46"/>
        <v/>
      </c>
    </row>
    <row r="555" spans="1:6" x14ac:dyDescent="0.35">
      <c r="A555" s="13" t="str">
        <f>IF(Effective_Other_TDF_Freq="trimestriel","T4","")</f>
        <v/>
      </c>
      <c r="B555" s="13" t="str">
        <f>IF(Effective_Other_TDF_Freq="trimestriel",1,"")</f>
        <v/>
      </c>
      <c r="C555" s="14" t="str">
        <f>IF(Effective_Other_TDF_Freq="trimestriel",IF(Other_Population="",0,Quantification!M523),"")</f>
        <v/>
      </c>
      <c r="D555" s="227" t="str">
        <f t="shared" si="45"/>
        <v/>
      </c>
      <c r="E555" s="70" t="str">
        <f t="shared" si="46"/>
        <v/>
      </c>
    </row>
    <row r="556" spans="1:6" x14ac:dyDescent="0.35">
      <c r="A556" s="13" t="str">
        <f>IF(Effective_Other_TDF_Freq="trimestriel","T1","")</f>
        <v/>
      </c>
      <c r="B556" s="13" t="str">
        <f>IF(Effective_Other_TDF_Freq="trimestriel",2,"")</f>
        <v/>
      </c>
      <c r="C556" s="14" t="str">
        <f>IF(Effective_Other_TDF_Freq="trimestriel",IF(Other_Population="",0,Quantification!M524),"")</f>
        <v/>
      </c>
      <c r="D556" s="227" t="str">
        <f t="shared" si="45"/>
        <v/>
      </c>
      <c r="E556" s="70" t="str">
        <f t="shared" si="46"/>
        <v/>
      </c>
    </row>
    <row r="557" spans="1:6" x14ac:dyDescent="0.35">
      <c r="A557" s="13" t="str">
        <f>IF(Effective_Other_TDF_Freq="trimestriel","T2","")</f>
        <v/>
      </c>
      <c r="B557" s="13" t="str">
        <f>IF(Effective_Other_TDF_Freq="trimestriel",2,"")</f>
        <v/>
      </c>
      <c r="C557" s="14" t="str">
        <f>IF(Effective_Other_TDF_Freq="trimestriel",IF(Other_Population="",0,Quantification!M525),"")</f>
        <v/>
      </c>
      <c r="D557" s="227" t="str">
        <f t="shared" si="45"/>
        <v/>
      </c>
      <c r="E557" s="70" t="str">
        <f t="shared" si="46"/>
        <v/>
      </c>
    </row>
    <row r="558" spans="1:6" x14ac:dyDescent="0.35">
      <c r="A558" s="13" t="str">
        <f>IF(Effective_Other_TDF_Freq="trimestriel","T3","")</f>
        <v/>
      </c>
      <c r="B558" s="13" t="str">
        <f>IF(Effective_Other_TDF_Freq="trimestriel",2,"")</f>
        <v/>
      </c>
      <c r="C558" s="14" t="str">
        <f>IF(Effective_Other_TDF_Freq="trimestriel",IF(Other_Population="",0,Quantification!M526),"")</f>
        <v/>
      </c>
      <c r="D558" s="227" t="str">
        <f t="shared" si="45"/>
        <v/>
      </c>
      <c r="E558" s="70" t="str">
        <f t="shared" si="46"/>
        <v/>
      </c>
    </row>
    <row r="559" spans="1:6" x14ac:dyDescent="0.35">
      <c r="A559" s="13" t="str">
        <f>IF(Effective_Other_TDF_Freq="trimestriel","T4","")</f>
        <v/>
      </c>
      <c r="B559" s="13" t="str">
        <f>IF(Effective_Other_TDF_Freq="trimestriel",2,"")</f>
        <v/>
      </c>
      <c r="C559" s="14" t="str">
        <f>IF(Effective_Other_TDF_Freq="trimestriel",IF(Other_Population="",0,Quantification!M527),"")</f>
        <v/>
      </c>
      <c r="D559" s="227" t="str">
        <f t="shared" si="45"/>
        <v/>
      </c>
      <c r="E559" s="70" t="str">
        <f t="shared" si="46"/>
        <v/>
      </c>
    </row>
    <row r="560" spans="1:6" x14ac:dyDescent="0.35">
      <c r="A560" s="13" t="str">
        <f>IF(Effective_Other_TDF_Freq="trimestriel","T1","")</f>
        <v/>
      </c>
      <c r="B560" s="13" t="str">
        <f>IF(Effective_Other_TDF_Freq="trimestriel",3,"")</f>
        <v/>
      </c>
      <c r="C560" s="14" t="str">
        <f>IF(Effective_Other_TDF_Freq="trimestriel",IF(Other_Population="",0,Quantification!M528),"")</f>
        <v/>
      </c>
      <c r="D560" s="227" t="str">
        <f t="shared" si="45"/>
        <v/>
      </c>
      <c r="E560" s="70" t="str">
        <f t="shared" si="46"/>
        <v/>
      </c>
    </row>
    <row r="561" spans="1:6" x14ac:dyDescent="0.35">
      <c r="A561" s="13" t="str">
        <f>IF(Effective_Other_TDF_Freq="trimestriel","T2","")</f>
        <v/>
      </c>
      <c r="B561" s="13" t="str">
        <f>IF(Effective_Other_TDF_Freq="trimestriel",3,"")</f>
        <v/>
      </c>
      <c r="C561" s="14" t="str">
        <f>IF(Effective_Other_TDF_Freq="trimestriel",IF(Other_Population="",0,Quantification!M529),"")</f>
        <v/>
      </c>
      <c r="D561" s="227" t="str">
        <f t="shared" si="45"/>
        <v/>
      </c>
      <c r="E561" s="70" t="str">
        <f t="shared" si="46"/>
        <v/>
      </c>
    </row>
    <row r="562" spans="1:6" x14ac:dyDescent="0.35">
      <c r="A562" s="13" t="str">
        <f>IF(Effective_Other_TDF_Freq="trimestriel","T3","")</f>
        <v/>
      </c>
      <c r="B562" s="13" t="str">
        <f>IF(Effective_Other_TDF_Freq="trimestriel",3,"")</f>
        <v/>
      </c>
      <c r="C562" s="14" t="str">
        <f>IF(Effective_Other_TDF_Freq="trimestriel",IF(Other_Population="",0,Quantification!M530),"")</f>
        <v/>
      </c>
      <c r="D562" s="227" t="str">
        <f t="shared" si="45"/>
        <v/>
      </c>
      <c r="E562" s="70" t="str">
        <f t="shared" si="46"/>
        <v/>
      </c>
    </row>
    <row r="563" spans="1:6" x14ac:dyDescent="0.35">
      <c r="A563" s="13" t="str">
        <f>IF(Effective_Other_TDF_Freq="trimestriel","T4","")</f>
        <v/>
      </c>
      <c r="B563" s="13" t="str">
        <f>IF(Effective_Other_TDF_Freq="trimestriel",3,"")</f>
        <v/>
      </c>
      <c r="C563" s="14" t="str">
        <f>IF(Effective_Other_TDF_Freq="trimestriel",IF(Other_Population="",0,Quantification!M531),"")</f>
        <v/>
      </c>
      <c r="D563" s="227" t="str">
        <f t="shared" si="45"/>
        <v/>
      </c>
      <c r="E563" s="70" t="str">
        <f t="shared" si="46"/>
        <v/>
      </c>
    </row>
    <row r="564" spans="1:6" x14ac:dyDescent="0.35">
      <c r="A564" s="2"/>
      <c r="D564" s="48"/>
      <c r="F564" s="237"/>
    </row>
    <row r="565" spans="1:6" x14ac:dyDescent="0.35">
      <c r="A565" s="24" t="str">
        <f>"Total Année 1 ("&amp;Currency&amp;")"</f>
        <v>Total Année 1 ()</v>
      </c>
      <c r="B565" s="105"/>
      <c r="C565" s="106"/>
      <c r="D565" s="105"/>
      <c r="E565" s="147">
        <f>SUM(E552:E555)</f>
        <v>0</v>
      </c>
    </row>
    <row r="566" spans="1:6" x14ac:dyDescent="0.35">
      <c r="A566" s="24" t="str">
        <f>"Total Année 2 ("&amp;Currency&amp;")"</f>
        <v>Total Année 2 ()</v>
      </c>
      <c r="B566" s="105"/>
      <c r="C566" s="106"/>
      <c r="D566" s="105"/>
      <c r="E566" s="147">
        <f>SUM(E556:E559)</f>
        <v>0</v>
      </c>
    </row>
    <row r="567" spans="1:6" x14ac:dyDescent="0.35">
      <c r="A567" s="24" t="str">
        <f>"Total Année 3 ("&amp;Currency&amp;")"</f>
        <v>Total Année 3 ()</v>
      </c>
      <c r="B567" s="105"/>
      <c r="C567" s="106"/>
      <c r="D567" s="105"/>
      <c r="E567" s="147">
        <f>SUM(E560:E563)</f>
        <v>0</v>
      </c>
    </row>
    <row r="568" spans="1:6" x14ac:dyDescent="0.35">
      <c r="C568" s="48"/>
      <c r="E568" s="140"/>
    </row>
    <row r="569" spans="1:6" ht="16" x14ac:dyDescent="0.4">
      <c r="A569" s="108" t="str">
        <f>"Total sur 3 ans ("&amp;Currency&amp;")"</f>
        <v>Total sur 3 ans ()</v>
      </c>
      <c r="B569" s="109"/>
      <c r="C569" s="135"/>
      <c r="D569" s="135"/>
      <c r="E569" s="136">
        <f>SUM(E565:E567)</f>
        <v>0</v>
      </c>
    </row>
  </sheetData>
  <sheetProtection sheet="1" formatColumns="0" formatRows="0" selectLockedCells="1" selectUnlockedCells="1"/>
  <mergeCells count="24">
    <mergeCell ref="A1:G1"/>
    <mergeCell ref="A5:G5"/>
    <mergeCell ref="G8:H8"/>
    <mergeCell ref="I8:J8"/>
    <mergeCell ref="A471:G471"/>
    <mergeCell ref="A268:G268"/>
    <mergeCell ref="G9:H9"/>
    <mergeCell ref="I9:J9"/>
    <mergeCell ref="G7:H7"/>
    <mergeCell ref="I7:J7"/>
    <mergeCell ref="A521:G521"/>
    <mergeCell ref="A118:G118"/>
    <mergeCell ref="C13:F13"/>
    <mergeCell ref="A318:J318"/>
    <mergeCell ref="A321:G321"/>
    <mergeCell ref="A371:G371"/>
    <mergeCell ref="A421:G421"/>
    <mergeCell ref="A15:G15"/>
    <mergeCell ref="A64:D64"/>
    <mergeCell ref="A66:G66"/>
    <mergeCell ref="A24:G24"/>
    <mergeCell ref="A168:G168"/>
    <mergeCell ref="A218:G218"/>
    <mergeCell ref="A68:G68"/>
  </mergeCells>
  <pageMargins left="0.25" right="0.25" top="0.75" bottom="0.75" header="0.3" footer="0.3"/>
  <pageSetup paperSize="9" scale="93" orientation="landscape" r:id="rId1"/>
  <rowBreaks count="1" manualBreakCount="1">
    <brk id="64" max="6"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868A0-3555-493E-A3A3-29191FD8ED2C}">
  <dimension ref="A1:H30"/>
  <sheetViews>
    <sheetView workbookViewId="0">
      <selection activeCell="A2" sqref="A2:A24"/>
    </sheetView>
  </sheetViews>
  <sheetFormatPr defaultRowHeight="14.5" x14ac:dyDescent="0.35"/>
  <cols>
    <col min="1" max="1" width="16.54296875" customWidth="1"/>
    <col min="2" max="2" width="15.7265625" bestFit="1" customWidth="1"/>
    <col min="3" max="3" width="19.26953125" bestFit="1" customWidth="1"/>
    <col min="4" max="4" width="33.1796875" customWidth="1"/>
    <col min="5" max="5" width="33.453125" customWidth="1"/>
    <col min="6" max="6" width="16" customWidth="1"/>
    <col min="7" max="7" width="30.54296875" customWidth="1"/>
    <col min="8" max="8" width="33.26953125" customWidth="1"/>
  </cols>
  <sheetData>
    <row r="1" spans="1:8" s="1" customFormat="1" x14ac:dyDescent="0.35">
      <c r="A1" s="24" t="s">
        <v>0</v>
      </c>
      <c r="B1" s="24" t="s">
        <v>109</v>
      </c>
      <c r="C1" s="24" t="s">
        <v>1</v>
      </c>
      <c r="D1" s="24" t="s">
        <v>115</v>
      </c>
      <c r="E1" s="24" t="s">
        <v>116</v>
      </c>
      <c r="F1" s="102" t="s">
        <v>94</v>
      </c>
      <c r="G1" s="102" t="s">
        <v>117</v>
      </c>
      <c r="H1" s="102" t="s">
        <v>118</v>
      </c>
    </row>
    <row r="2" spans="1:8" x14ac:dyDescent="0.35">
      <c r="A2" s="13" t="s">
        <v>7</v>
      </c>
      <c r="B2" s="21">
        <f>Calc_PW!E2</f>
        <v>1759118.4</v>
      </c>
      <c r="C2" s="27">
        <v>2.5399999999999999E-2</v>
      </c>
      <c r="D2" s="28">
        <v>0.153</v>
      </c>
      <c r="E2" s="28">
        <v>0.88800000000000001</v>
      </c>
      <c r="F2" s="251">
        <v>7.5999999999999998E-2</v>
      </c>
      <c r="G2" s="28">
        <v>0.05</v>
      </c>
      <c r="H2" s="251">
        <v>0</v>
      </c>
    </row>
    <row r="3" spans="1:8" x14ac:dyDescent="0.35">
      <c r="A3" s="13" t="s">
        <v>411</v>
      </c>
      <c r="B3" s="21">
        <f>Calc_PW!E3</f>
        <v>1210698.8400000001</v>
      </c>
      <c r="C3" s="27">
        <v>5.74E-2</v>
      </c>
      <c r="D3" s="28">
        <v>0.65600000000000003</v>
      </c>
      <c r="E3" s="28">
        <v>0.99</v>
      </c>
      <c r="F3" s="251">
        <v>0.115</v>
      </c>
      <c r="G3" s="28">
        <v>0.05</v>
      </c>
      <c r="H3" s="251">
        <v>0</v>
      </c>
    </row>
    <row r="4" spans="1:8" x14ac:dyDescent="0.35">
      <c r="A4" s="13" t="s">
        <v>412</v>
      </c>
      <c r="B4" s="21">
        <f>Calc_PW!E4</f>
        <v>1073466.72</v>
      </c>
      <c r="C4" s="27">
        <v>2.92E-2</v>
      </c>
      <c r="D4" s="28">
        <v>0.151</v>
      </c>
      <c r="E4" s="28">
        <v>0.79700000000000004</v>
      </c>
      <c r="F4" s="251">
        <v>9.5000000000000001E-2</v>
      </c>
      <c r="G4" s="28">
        <v>0.05</v>
      </c>
      <c r="H4" s="251">
        <v>0</v>
      </c>
    </row>
    <row r="5" spans="1:8" x14ac:dyDescent="0.35">
      <c r="A5" s="13" t="s">
        <v>6</v>
      </c>
      <c r="B5" s="21">
        <f>Calc_PW!E5</f>
        <v>322179</v>
      </c>
      <c r="C5" s="27">
        <v>7.0699999999999999E-2</v>
      </c>
      <c r="D5" s="28">
        <v>0.128</v>
      </c>
      <c r="E5" s="28">
        <v>1</v>
      </c>
      <c r="F5" s="251">
        <v>5.5E-2</v>
      </c>
      <c r="G5" s="28">
        <v>0.05</v>
      </c>
      <c r="H5" s="251">
        <v>0</v>
      </c>
    </row>
    <row r="6" spans="1:8" x14ac:dyDescent="0.35">
      <c r="A6" s="13" t="s">
        <v>413</v>
      </c>
      <c r="B6" s="21">
        <f>Calc_PW!E6</f>
        <v>1255287.5999999999</v>
      </c>
      <c r="C6" s="27">
        <v>4.87E-2</v>
      </c>
      <c r="D6" s="28">
        <v>0.88</v>
      </c>
      <c r="E6" s="28">
        <v>0.5</v>
      </c>
      <c r="F6" s="251">
        <v>0.1</v>
      </c>
      <c r="G6" s="28">
        <v>0.05</v>
      </c>
      <c r="H6" s="251">
        <v>0</v>
      </c>
    </row>
    <row r="7" spans="1:8" x14ac:dyDescent="0.35">
      <c r="A7" s="13" t="s">
        <v>414</v>
      </c>
      <c r="B7" s="21">
        <f>Calc_PW!E7</f>
        <v>4145670.7199999997</v>
      </c>
      <c r="C7" s="27">
        <v>7.7799999999999994E-2</v>
      </c>
      <c r="D7" s="28">
        <v>0.23</v>
      </c>
      <c r="E7" s="28">
        <v>0.129</v>
      </c>
      <c r="F7" s="251">
        <v>2.8000000000000001E-2</v>
      </c>
      <c r="G7" s="28">
        <v>0.05</v>
      </c>
      <c r="H7" s="251">
        <v>0</v>
      </c>
    </row>
    <row r="8" spans="1:8" x14ac:dyDescent="0.35">
      <c r="A8" s="13" t="s">
        <v>415</v>
      </c>
      <c r="B8" s="21">
        <f>Calc_PW!E8</f>
        <v>102241.43999999999</v>
      </c>
      <c r="C8" s="27">
        <v>8.9899999999999994E-2</v>
      </c>
      <c r="D8" s="28">
        <v>0.69799999999999995</v>
      </c>
      <c r="E8" s="28">
        <v>0.16500000000000001</v>
      </c>
      <c r="F8" s="251">
        <v>2.3E-2</v>
      </c>
      <c r="G8" s="28">
        <v>0.05</v>
      </c>
      <c r="H8" s="251">
        <v>0</v>
      </c>
    </row>
    <row r="9" spans="1:8" s="9" customFormat="1" x14ac:dyDescent="0.35">
      <c r="A9" s="93" t="s">
        <v>93</v>
      </c>
      <c r="B9" s="198">
        <f>Calc_PW!E9</f>
        <v>1108177.2</v>
      </c>
      <c r="C9" s="199">
        <v>0.01</v>
      </c>
      <c r="D9" s="200">
        <v>0.95799999999999996</v>
      </c>
      <c r="E9" s="200">
        <v>1</v>
      </c>
      <c r="F9" s="252">
        <v>0.09</v>
      </c>
      <c r="G9" s="28">
        <v>0.05</v>
      </c>
      <c r="H9" s="251">
        <v>0</v>
      </c>
    </row>
    <row r="10" spans="1:8" s="9" customFormat="1" x14ac:dyDescent="0.35">
      <c r="A10" s="93" t="s">
        <v>416</v>
      </c>
      <c r="B10" s="198">
        <f>Calc_PW!E10</f>
        <v>613325.76</v>
      </c>
      <c r="C10" s="199">
        <v>8.9999999999999993E-3</v>
      </c>
      <c r="D10" s="200">
        <v>0.74099999999999999</v>
      </c>
      <c r="E10" s="200">
        <v>1</v>
      </c>
      <c r="F10" s="252">
        <v>0.1</v>
      </c>
      <c r="G10" s="28">
        <v>0.05</v>
      </c>
      <c r="H10" s="251">
        <v>0</v>
      </c>
    </row>
    <row r="11" spans="1:8" s="9" customFormat="1" x14ac:dyDescent="0.35">
      <c r="A11" s="93" t="s">
        <v>4</v>
      </c>
      <c r="B11" s="198">
        <f>Calc_PW!E11</f>
        <v>1870314</v>
      </c>
      <c r="C11" s="199">
        <v>9.4999999999999998E-3</v>
      </c>
      <c r="D11" s="200">
        <v>0.93600000000000005</v>
      </c>
      <c r="E11" s="200">
        <v>0.443</v>
      </c>
      <c r="F11" s="252">
        <v>4.3999999999999997E-2</v>
      </c>
      <c r="G11" s="28">
        <v>0.05</v>
      </c>
      <c r="H11" s="251">
        <v>0</v>
      </c>
    </row>
    <row r="12" spans="1:8" s="9" customFormat="1" x14ac:dyDescent="0.35">
      <c r="A12" s="93" t="s">
        <v>417</v>
      </c>
      <c r="B12" s="198">
        <f>Calc_PW!E12</f>
        <v>211766.39999999999</v>
      </c>
      <c r="C12" s="199">
        <v>1.03E-2</v>
      </c>
      <c r="D12" s="200">
        <v>0.92100000000000004</v>
      </c>
      <c r="E12" s="200">
        <v>0.90100000000000002</v>
      </c>
      <c r="F12" s="252">
        <v>4.2999999999999997E-2</v>
      </c>
      <c r="G12" s="28">
        <v>0.05</v>
      </c>
      <c r="H12" s="251">
        <v>0</v>
      </c>
    </row>
    <row r="13" spans="1:8" s="9" customFormat="1" x14ac:dyDescent="0.35">
      <c r="A13" s="93" t="s">
        <v>5</v>
      </c>
      <c r="B13" s="198">
        <f>Calc_PW!E13</f>
        <v>1259407.8</v>
      </c>
      <c r="C13" s="199">
        <v>1.5599999999999999E-2</v>
      </c>
      <c r="D13" s="200">
        <v>0.152</v>
      </c>
      <c r="E13" s="200">
        <v>0.69099999999999995</v>
      </c>
      <c r="F13" s="252">
        <v>6.4000000000000001E-2</v>
      </c>
      <c r="G13" s="28">
        <v>0.05</v>
      </c>
      <c r="H13" s="251">
        <v>0</v>
      </c>
    </row>
    <row r="14" spans="1:8" s="9" customFormat="1" x14ac:dyDescent="0.35">
      <c r="A14" s="93" t="s">
        <v>88</v>
      </c>
      <c r="B14" s="198">
        <f>Calc_PW!E14</f>
        <v>835989.84</v>
      </c>
      <c r="C14" s="199">
        <v>2.4E-2</v>
      </c>
      <c r="D14" s="200">
        <v>0.84799999999999998</v>
      </c>
      <c r="E14" s="200">
        <v>1</v>
      </c>
      <c r="F14" s="252">
        <v>2.7E-2</v>
      </c>
      <c r="G14" s="28">
        <v>0.05</v>
      </c>
      <c r="H14" s="251">
        <v>0</v>
      </c>
    </row>
    <row r="15" spans="1:8" s="9" customFormat="1" x14ac:dyDescent="0.35">
      <c r="A15" s="93" t="s">
        <v>92</v>
      </c>
      <c r="B15" s="198">
        <f>Calc_PW!E15</f>
        <v>1601401.9200000002</v>
      </c>
      <c r="C15" s="199">
        <v>2.3099999999999999E-2</v>
      </c>
      <c r="D15" s="200">
        <v>0.99099999999999999</v>
      </c>
      <c r="E15" s="200">
        <v>0.97199999999999998</v>
      </c>
      <c r="F15" s="252">
        <v>6.2E-2</v>
      </c>
      <c r="G15" s="28">
        <v>0.05</v>
      </c>
      <c r="H15" s="251">
        <v>0</v>
      </c>
    </row>
    <row r="16" spans="1:8" s="9" customFormat="1" x14ac:dyDescent="0.35">
      <c r="A16" s="93" t="s">
        <v>89</v>
      </c>
      <c r="B16" s="198">
        <f>Calc_PW!E16</f>
        <v>9391890</v>
      </c>
      <c r="C16" s="199">
        <v>1.5E-3</v>
      </c>
      <c r="D16" s="200">
        <v>0.57899999999999996</v>
      </c>
      <c r="E16" s="200">
        <v>1</v>
      </c>
      <c r="F16" s="252">
        <v>6.6000000000000003E-2</v>
      </c>
      <c r="G16" s="28">
        <v>7.1999999999999995E-2</v>
      </c>
      <c r="H16" s="251">
        <v>0</v>
      </c>
    </row>
    <row r="17" spans="1:8" s="9" customFormat="1" x14ac:dyDescent="0.35">
      <c r="A17" s="93" t="s">
        <v>418</v>
      </c>
      <c r="B17" s="198">
        <f>Calc_PW!E17</f>
        <v>667313.6399999999</v>
      </c>
      <c r="C17" s="199">
        <v>8.0999999999999996E-3</v>
      </c>
      <c r="D17" s="200">
        <v>0.81299999999999994</v>
      </c>
      <c r="E17" s="200">
        <v>0.80600000000000005</v>
      </c>
      <c r="F17" s="252">
        <v>5.2999999999999999E-2</v>
      </c>
      <c r="G17" s="28">
        <v>0.05</v>
      </c>
      <c r="H17" s="251">
        <v>0</v>
      </c>
    </row>
    <row r="18" spans="1:8" s="9" customFormat="1" x14ac:dyDescent="0.35">
      <c r="A18" s="93" t="s">
        <v>12</v>
      </c>
      <c r="B18" s="198">
        <f>Calc_PW!E18</f>
        <v>323146.56</v>
      </c>
      <c r="C18" s="199">
        <v>8.5000000000000006E-3</v>
      </c>
      <c r="D18" s="200">
        <v>0.73599999999999999</v>
      </c>
      <c r="E18" s="200">
        <v>0.4</v>
      </c>
      <c r="F18" s="252">
        <v>0.13500000000000001</v>
      </c>
      <c r="G18" s="28">
        <v>0.05</v>
      </c>
      <c r="H18" s="251">
        <v>0</v>
      </c>
    </row>
    <row r="19" spans="1:8" s="9" customFormat="1" x14ac:dyDescent="0.35">
      <c r="A19" s="93" t="s">
        <v>419</v>
      </c>
      <c r="B19" s="198">
        <f>Calc_PW!E19</f>
        <v>1459944</v>
      </c>
      <c r="C19" s="199">
        <v>1.6E-2</v>
      </c>
      <c r="D19" s="200">
        <v>0.83899999999999997</v>
      </c>
      <c r="E19" s="200">
        <v>0.75900000000000001</v>
      </c>
      <c r="F19" s="252">
        <v>4.5999999999999999E-2</v>
      </c>
      <c r="G19" s="28">
        <v>0.05</v>
      </c>
      <c r="H19" s="251">
        <v>0</v>
      </c>
    </row>
    <row r="20" spans="1:8" s="9" customFormat="1" x14ac:dyDescent="0.35">
      <c r="A20" s="93" t="s">
        <v>420</v>
      </c>
      <c r="B20" s="198">
        <f>Calc_PW!E20</f>
        <v>2984007.8400000003</v>
      </c>
      <c r="C20" s="199">
        <v>4.0000000000000001E-3</v>
      </c>
      <c r="D20" s="200">
        <v>0.83499999999999996</v>
      </c>
      <c r="E20" s="200">
        <v>0.92800000000000005</v>
      </c>
      <c r="F20" s="252">
        <v>2.8000000000000001E-2</v>
      </c>
      <c r="G20" s="28">
        <v>0.05</v>
      </c>
      <c r="H20" s="251">
        <v>0</v>
      </c>
    </row>
    <row r="21" spans="1:8" s="9" customFormat="1" x14ac:dyDescent="0.35">
      <c r="A21" s="93" t="s">
        <v>421</v>
      </c>
      <c r="B21" s="198">
        <f>Calc_PW!E21</f>
        <v>2171197.6799999997</v>
      </c>
      <c r="C21" s="199">
        <v>1.35E-2</v>
      </c>
      <c r="D21" s="200">
        <v>0.95099999999999996</v>
      </c>
      <c r="E21" s="200">
        <v>0.88700000000000001</v>
      </c>
      <c r="F21" s="252">
        <v>2.4E-2</v>
      </c>
      <c r="G21" s="28">
        <v>0.05</v>
      </c>
      <c r="H21" s="251">
        <v>0.03</v>
      </c>
    </row>
    <row r="22" spans="1:8" x14ac:dyDescent="0.35">
      <c r="A22" s="13" t="s">
        <v>422</v>
      </c>
      <c r="B22" s="21">
        <f>Calc_PW!E22</f>
        <v>869368.68000000017</v>
      </c>
      <c r="C22" s="27">
        <v>5.9499999999999997E-2</v>
      </c>
      <c r="D22" s="28">
        <v>0.93100000000000005</v>
      </c>
      <c r="E22" s="28">
        <v>1</v>
      </c>
      <c r="F22" s="251">
        <v>1.7999999999999999E-2</v>
      </c>
      <c r="G22" s="28">
        <v>0.05</v>
      </c>
      <c r="H22" s="251">
        <v>0</v>
      </c>
    </row>
    <row r="23" spans="1:8" x14ac:dyDescent="0.35">
      <c r="A23" s="13" t="s">
        <v>13</v>
      </c>
      <c r="B23" s="21">
        <f>Calc_PW!E23</f>
        <v>620364</v>
      </c>
      <c r="C23" s="27">
        <v>1.78E-2</v>
      </c>
      <c r="D23" s="28">
        <v>0.95299999999999996</v>
      </c>
      <c r="E23" s="28">
        <v>0.92900000000000005</v>
      </c>
      <c r="F23" s="251">
        <v>7.6999999999999999E-2</v>
      </c>
      <c r="G23" s="28">
        <v>0.05</v>
      </c>
      <c r="H23" s="251">
        <v>0</v>
      </c>
    </row>
    <row r="24" spans="1:8" x14ac:dyDescent="0.35">
      <c r="A24" s="13" t="s">
        <v>423</v>
      </c>
      <c r="B24" s="21"/>
      <c r="C24" s="13"/>
      <c r="D24" s="13"/>
      <c r="E24" s="13"/>
      <c r="F24" s="28"/>
      <c r="G24" s="28"/>
      <c r="H24" s="28"/>
    </row>
    <row r="26" spans="1:8" x14ac:dyDescent="0.35">
      <c r="F26" s="188"/>
    </row>
    <row r="27" spans="1:8" x14ac:dyDescent="0.35">
      <c r="F27" s="188"/>
    </row>
    <row r="28" spans="1:8" x14ac:dyDescent="0.35">
      <c r="A28" s="3"/>
      <c r="F28" s="188"/>
    </row>
    <row r="29" spans="1:8" x14ac:dyDescent="0.35">
      <c r="F29" s="188"/>
    </row>
    <row r="30" spans="1:8" x14ac:dyDescent="0.35">
      <c r="A30" s="3"/>
      <c r="F30" s="188"/>
    </row>
  </sheetData>
  <sheetProtection sheet="1" formatColumns="0" formatRows="0" selectLockedCells="1" selectUnlockedCells="1"/>
  <sortState xmlns:xlrd2="http://schemas.microsoft.com/office/spreadsheetml/2017/richdata2" ref="A2:A23">
    <sortCondition ref="A2:A23"/>
  </sortState>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E22C-B70B-4DAE-B47E-F2AFE98E6879}">
  <dimension ref="A1:F27"/>
  <sheetViews>
    <sheetView workbookViewId="0">
      <selection activeCell="D31" sqref="D31"/>
    </sheetView>
  </sheetViews>
  <sheetFormatPr defaultRowHeight="14.5" x14ac:dyDescent="0.35"/>
  <cols>
    <col min="1" max="1" width="14.7265625" bestFit="1" customWidth="1"/>
    <col min="2" max="2" width="14.7265625" customWidth="1"/>
    <col min="3" max="3" width="16.81640625" bestFit="1" customWidth="1"/>
    <col min="4" max="4" width="13.453125" bestFit="1" customWidth="1"/>
    <col min="5" max="5" width="15.7265625" bestFit="1" customWidth="1"/>
  </cols>
  <sheetData>
    <row r="1" spans="1:6" s="4" customFormat="1" x14ac:dyDescent="0.35">
      <c r="A1" s="24" t="s">
        <v>0</v>
      </c>
      <c r="B1" s="24" t="s">
        <v>14</v>
      </c>
      <c r="C1" s="24" t="s">
        <v>15</v>
      </c>
      <c r="D1" s="24" t="s">
        <v>133</v>
      </c>
      <c r="E1" s="24" t="s">
        <v>109</v>
      </c>
      <c r="F1" s="1"/>
    </row>
    <row r="2" spans="1:6" x14ac:dyDescent="0.35">
      <c r="A2" s="13" t="s">
        <v>7</v>
      </c>
      <c r="B2" s="60">
        <v>39000000</v>
      </c>
      <c r="C2" s="19">
        <v>37.588000000000001</v>
      </c>
      <c r="D2" s="21">
        <f>(B2*C2)/1000</f>
        <v>1465932</v>
      </c>
      <c r="E2" s="21">
        <f>D2*1.2</f>
        <v>1759118.4</v>
      </c>
    </row>
    <row r="3" spans="1:6" x14ac:dyDescent="0.35">
      <c r="A3" s="13" t="s">
        <v>43</v>
      </c>
      <c r="B3" s="60">
        <v>29900000</v>
      </c>
      <c r="C3" s="19">
        <v>33.743000000000002</v>
      </c>
      <c r="D3" s="21">
        <f>(B3*C3)/1000</f>
        <v>1008915.7000000001</v>
      </c>
      <c r="E3" s="21">
        <f>D3*1.2</f>
        <v>1210698.8400000001</v>
      </c>
    </row>
    <row r="4" spans="1:6" x14ac:dyDescent="0.35">
      <c r="A4" s="13" t="s">
        <v>8</v>
      </c>
      <c r="B4" s="60">
        <v>21100000</v>
      </c>
      <c r="C4" s="19">
        <v>42.396000000000001</v>
      </c>
      <c r="D4" s="21">
        <f>(B4*C4)/1000</f>
        <v>894555.6</v>
      </c>
      <c r="E4" s="21">
        <f t="shared" ref="E4:E23" si="0">D4*1.2</f>
        <v>1073466.72</v>
      </c>
    </row>
    <row r="5" spans="1:6" x14ac:dyDescent="0.35">
      <c r="A5" s="13" t="s">
        <v>6</v>
      </c>
      <c r="B5" s="60">
        <v>6500000</v>
      </c>
      <c r="C5" s="19">
        <v>41.305</v>
      </c>
      <c r="D5" s="21">
        <f t="shared" ref="D5:D23" si="1">(B5*C5)/1000</f>
        <v>268482.5</v>
      </c>
      <c r="E5" s="21">
        <f t="shared" si="0"/>
        <v>322179</v>
      </c>
    </row>
    <row r="6" spans="1:6" x14ac:dyDescent="0.35">
      <c r="A6" s="13" t="s">
        <v>46</v>
      </c>
      <c r="B6" s="60">
        <v>32700000</v>
      </c>
      <c r="C6" s="61">
        <v>31.99</v>
      </c>
      <c r="D6" s="21">
        <f t="shared" si="1"/>
        <v>1046073</v>
      </c>
      <c r="E6" s="21">
        <f t="shared" si="0"/>
        <v>1255287.5999999999</v>
      </c>
    </row>
    <row r="7" spans="1:6" x14ac:dyDescent="0.35">
      <c r="A7" s="13" t="s">
        <v>9</v>
      </c>
      <c r="B7" s="60">
        <v>112800000</v>
      </c>
      <c r="C7" s="19">
        <v>30.626999999999999</v>
      </c>
      <c r="D7" s="21">
        <f t="shared" si="1"/>
        <v>3454725.6</v>
      </c>
      <c r="E7" s="21">
        <f t="shared" si="0"/>
        <v>4145670.7199999997</v>
      </c>
    </row>
    <row r="8" spans="1:6" x14ac:dyDescent="0.35">
      <c r="A8" s="13" t="s">
        <v>3</v>
      </c>
      <c r="B8" s="60">
        <v>2800000</v>
      </c>
      <c r="C8" s="19">
        <v>30.428999999999998</v>
      </c>
      <c r="D8" s="21">
        <f t="shared" si="1"/>
        <v>85201.2</v>
      </c>
      <c r="E8" s="21">
        <f t="shared" si="0"/>
        <v>102241.43999999999</v>
      </c>
    </row>
    <row r="9" spans="1:6" s="9" customFormat="1" x14ac:dyDescent="0.35">
      <c r="A9" s="93" t="s">
        <v>93</v>
      </c>
      <c r="B9" s="225">
        <v>35100000</v>
      </c>
      <c r="C9" s="39">
        <v>26.31</v>
      </c>
      <c r="D9" s="198">
        <f t="shared" si="1"/>
        <v>923481</v>
      </c>
      <c r="E9" s="198">
        <f t="shared" si="0"/>
        <v>1108177.2</v>
      </c>
    </row>
    <row r="10" spans="1:6" s="9" customFormat="1" x14ac:dyDescent="0.35">
      <c r="A10" s="93" t="s">
        <v>10</v>
      </c>
      <c r="B10" s="225">
        <v>15100000</v>
      </c>
      <c r="C10" s="39">
        <v>33.847999999999999</v>
      </c>
      <c r="D10" s="198">
        <f t="shared" si="1"/>
        <v>511104.8</v>
      </c>
      <c r="E10" s="198">
        <f t="shared" si="0"/>
        <v>613325.76</v>
      </c>
    </row>
    <row r="11" spans="1:6" s="9" customFormat="1" x14ac:dyDescent="0.35">
      <c r="A11" s="93" t="s">
        <v>4</v>
      </c>
      <c r="B11" s="225">
        <v>57500000</v>
      </c>
      <c r="C11" s="39">
        <v>27.106000000000002</v>
      </c>
      <c r="D11" s="198">
        <f t="shared" si="1"/>
        <v>1558595</v>
      </c>
      <c r="E11" s="198">
        <f t="shared" si="0"/>
        <v>1870314</v>
      </c>
    </row>
    <row r="12" spans="1:6" s="9" customFormat="1" x14ac:dyDescent="0.35">
      <c r="A12" s="93" t="s">
        <v>45</v>
      </c>
      <c r="B12" s="225">
        <v>5700000</v>
      </c>
      <c r="C12" s="201">
        <v>30.96</v>
      </c>
      <c r="D12" s="198">
        <f t="shared" si="1"/>
        <v>176472</v>
      </c>
      <c r="E12" s="198">
        <f t="shared" si="0"/>
        <v>211766.39999999999</v>
      </c>
    </row>
    <row r="13" spans="1:6" s="9" customFormat="1" x14ac:dyDescent="0.35">
      <c r="A13" s="93" t="s">
        <v>5</v>
      </c>
      <c r="B13" s="225">
        <v>32700000</v>
      </c>
      <c r="C13" s="39">
        <v>32.094999999999999</v>
      </c>
      <c r="D13" s="198">
        <f t="shared" si="1"/>
        <v>1049506.5</v>
      </c>
      <c r="E13" s="198">
        <f t="shared" si="0"/>
        <v>1259407.8</v>
      </c>
    </row>
    <row r="14" spans="1:6" s="9" customFormat="1" x14ac:dyDescent="0.35">
      <c r="A14" s="93" t="s">
        <v>88</v>
      </c>
      <c r="B14" s="225">
        <v>22200000</v>
      </c>
      <c r="C14" s="39">
        <v>31.381</v>
      </c>
      <c r="D14" s="198">
        <f>(B14*C14)/1000</f>
        <v>696658.2</v>
      </c>
      <c r="E14" s="198">
        <f t="shared" si="0"/>
        <v>835989.84</v>
      </c>
    </row>
    <row r="15" spans="1:6" s="9" customFormat="1" x14ac:dyDescent="0.35">
      <c r="A15" s="93" t="s">
        <v>92</v>
      </c>
      <c r="B15" s="225">
        <v>35600000</v>
      </c>
      <c r="C15" s="39">
        <v>37.485999999999997</v>
      </c>
      <c r="D15" s="198">
        <f>(B15*C15)/1000</f>
        <v>1334501.6000000001</v>
      </c>
      <c r="E15" s="198">
        <f t="shared" si="0"/>
        <v>1601401.9200000002</v>
      </c>
    </row>
    <row r="16" spans="1:6" s="9" customFormat="1" x14ac:dyDescent="0.35">
      <c r="A16" s="93" t="s">
        <v>89</v>
      </c>
      <c r="B16" s="225">
        <v>237500000</v>
      </c>
      <c r="C16" s="39">
        <v>32.954000000000001</v>
      </c>
      <c r="D16" s="198">
        <f>(B16*C16)/1000</f>
        <v>7826575</v>
      </c>
      <c r="E16" s="198">
        <f t="shared" si="0"/>
        <v>9391890</v>
      </c>
    </row>
    <row r="17" spans="1:5" s="9" customFormat="1" x14ac:dyDescent="0.35">
      <c r="A17" s="93" t="s">
        <v>11</v>
      </c>
      <c r="B17" s="225">
        <v>18900000</v>
      </c>
      <c r="C17" s="39">
        <v>29.422999999999998</v>
      </c>
      <c r="D17" s="198">
        <f t="shared" si="1"/>
        <v>556094.69999999995</v>
      </c>
      <c r="E17" s="198">
        <f t="shared" si="0"/>
        <v>667313.6399999999</v>
      </c>
    </row>
    <row r="18" spans="1:5" s="9" customFormat="1" x14ac:dyDescent="0.35">
      <c r="A18" s="93" t="s">
        <v>12</v>
      </c>
      <c r="B18" s="225">
        <v>8800000</v>
      </c>
      <c r="C18" s="39">
        <v>30.600999999999999</v>
      </c>
      <c r="D18" s="198">
        <f t="shared" si="1"/>
        <v>269288.8</v>
      </c>
      <c r="E18" s="198">
        <f t="shared" si="0"/>
        <v>323146.56</v>
      </c>
    </row>
    <row r="19" spans="1:5" s="9" customFormat="1" x14ac:dyDescent="0.35">
      <c r="A19" s="93" t="s">
        <v>91</v>
      </c>
      <c r="B19" s="225">
        <v>64800000</v>
      </c>
      <c r="C19" s="39">
        <v>18.774999999999999</v>
      </c>
      <c r="D19" s="198">
        <f t="shared" si="1"/>
        <v>1216620</v>
      </c>
      <c r="E19" s="198">
        <f t="shared" si="0"/>
        <v>1459944</v>
      </c>
    </row>
    <row r="20" spans="1:5" s="9" customFormat="1" x14ac:dyDescent="0.35">
      <c r="A20" s="93" t="s">
        <v>2</v>
      </c>
      <c r="B20" s="225">
        <v>70600000</v>
      </c>
      <c r="C20" s="39">
        <v>35.222000000000001</v>
      </c>
      <c r="D20" s="198">
        <f t="shared" si="1"/>
        <v>2486673.2000000002</v>
      </c>
      <c r="E20" s="198">
        <f t="shared" si="0"/>
        <v>2984007.8400000003</v>
      </c>
    </row>
    <row r="21" spans="1:5" s="9" customFormat="1" x14ac:dyDescent="0.35">
      <c r="A21" s="93" t="s">
        <v>90</v>
      </c>
      <c r="B21" s="225">
        <v>51400000</v>
      </c>
      <c r="C21" s="39">
        <v>35.201000000000001</v>
      </c>
      <c r="D21" s="198">
        <f>(B21*C21)/1000</f>
        <v>1809331.4</v>
      </c>
      <c r="E21" s="198">
        <f t="shared" si="0"/>
        <v>2171197.6799999997</v>
      </c>
    </row>
    <row r="22" spans="1:5" x14ac:dyDescent="0.35">
      <c r="A22" s="13" t="s">
        <v>44</v>
      </c>
      <c r="B22" s="60">
        <v>21900000</v>
      </c>
      <c r="C22" s="61">
        <v>33.081000000000003</v>
      </c>
      <c r="D22" s="21">
        <f t="shared" si="1"/>
        <v>724473.90000000014</v>
      </c>
      <c r="E22" s="21">
        <f t="shared" si="0"/>
        <v>869368.68000000017</v>
      </c>
    </row>
    <row r="23" spans="1:5" x14ac:dyDescent="0.35">
      <c r="A23" s="13" t="s">
        <v>13</v>
      </c>
      <c r="B23" s="60">
        <v>17000000</v>
      </c>
      <c r="C23" s="19">
        <v>30.41</v>
      </c>
      <c r="D23" s="21">
        <f t="shared" si="1"/>
        <v>516970</v>
      </c>
      <c r="E23" s="21">
        <f t="shared" si="0"/>
        <v>620364</v>
      </c>
    </row>
    <row r="25" spans="1:5" x14ac:dyDescent="0.35">
      <c r="A25" s="2"/>
    </row>
    <row r="26" spans="1:5" x14ac:dyDescent="0.35">
      <c r="B26" s="3"/>
    </row>
    <row r="27" spans="1:5" x14ac:dyDescent="0.35">
      <c r="B27" s="3"/>
    </row>
  </sheetData>
  <sheetProtection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BE96B-FC5D-4061-BDE1-4FCC222E8946}">
  <dimension ref="A1:J45"/>
  <sheetViews>
    <sheetView workbookViewId="0">
      <selection activeCell="E15" sqref="E15"/>
    </sheetView>
  </sheetViews>
  <sheetFormatPr defaultRowHeight="14.5" x14ac:dyDescent="0.35"/>
  <cols>
    <col min="1" max="1" width="12.81640625" customWidth="1"/>
    <col min="2" max="2" width="5" bestFit="1" customWidth="1"/>
    <col min="3" max="3" width="23.54296875" bestFit="1" customWidth="1"/>
    <col min="4" max="4" width="25.7265625" customWidth="1"/>
    <col min="5" max="5" width="12.7265625" customWidth="1"/>
    <col min="6" max="6" width="12.1796875" customWidth="1"/>
    <col min="7" max="7" width="16.54296875" customWidth="1"/>
    <col min="8" max="8" width="14.26953125" bestFit="1" customWidth="1"/>
    <col min="9" max="9" width="11.1796875" bestFit="1" customWidth="1"/>
    <col min="10" max="10" width="18.453125" customWidth="1"/>
  </cols>
  <sheetData>
    <row r="1" spans="1:10" s="11" customFormat="1" ht="28.5" customHeight="1" x14ac:dyDescent="0.35">
      <c r="A1" s="11" t="s">
        <v>18</v>
      </c>
    </row>
    <row r="2" spans="1:10" s="82" customFormat="1" ht="14.5" customHeight="1" x14ac:dyDescent="0.35"/>
    <row r="3" spans="1:10" s="84" customFormat="1" ht="14.5" customHeight="1" x14ac:dyDescent="0.35">
      <c r="A3" s="83" t="s">
        <v>113</v>
      </c>
    </row>
    <row r="4" spans="1:10" s="12" customFormat="1" ht="14.5" customHeight="1" x14ac:dyDescent="0.35"/>
    <row r="5" spans="1:10" ht="29" x14ac:dyDescent="0.35">
      <c r="A5" s="57" t="s">
        <v>19</v>
      </c>
      <c r="B5" s="57" t="s">
        <v>20</v>
      </c>
      <c r="C5" s="57" t="s">
        <v>128</v>
      </c>
      <c r="D5" s="57" t="s">
        <v>21</v>
      </c>
      <c r="E5" s="57" t="s">
        <v>110</v>
      </c>
      <c r="F5" s="57" t="s">
        <v>47</v>
      </c>
      <c r="G5" s="57" t="s">
        <v>48</v>
      </c>
      <c r="H5" s="57" t="s">
        <v>22</v>
      </c>
      <c r="I5" s="57" t="s">
        <v>23</v>
      </c>
      <c r="J5" s="57" t="s">
        <v>24</v>
      </c>
    </row>
    <row r="6" spans="1:10" x14ac:dyDescent="0.35">
      <c r="A6" s="13" t="s">
        <v>25</v>
      </c>
      <c r="B6" s="13">
        <v>1</v>
      </c>
      <c r="C6" s="14" t="e">
        <f>IF(ANC_DualTest_Share_Y1=100,ANC_Population/4,ANC_Population/4*(ANC_DualTest_Share_Y1/100))</f>
        <v>#VALUE!</v>
      </c>
      <c r="D6" s="14">
        <f>Y1_Screening_Target</f>
        <v>0</v>
      </c>
      <c r="E6" s="14" t="e">
        <f t="shared" ref="E6:E17" si="0">C6*(D6/100)*Tests_Per_Pregnancy</f>
        <v>#VALUE!</v>
      </c>
      <c r="F6" s="14">
        <f t="shared" ref="F6:F17" si="1">IF(Partners_Tested_Rate="", 0, (C6*(D6/100)*(Syphilis_Prevalence/100))*Partners_Tested_Rate)</f>
        <v>0</v>
      </c>
      <c r="G6" s="14" t="e">
        <f>E6+F6</f>
        <v>#VALUE!</v>
      </c>
      <c r="H6" s="14" t="e">
        <f>(G6/3)*DualTest_Buffer</f>
        <v>#VALUE!</v>
      </c>
      <c r="I6" s="14" t="e">
        <f t="shared" ref="I6:I17" si="2">(G6+H6)*(Wastage_Rate/100)</f>
        <v>#VALUE!</v>
      </c>
      <c r="J6" s="14" t="e">
        <f>G6+H6+I6</f>
        <v>#VALUE!</v>
      </c>
    </row>
    <row r="7" spans="1:10" x14ac:dyDescent="0.35">
      <c r="A7" s="13" t="s">
        <v>26</v>
      </c>
      <c r="B7" s="13">
        <v>1</v>
      </c>
      <c r="C7" s="14" t="e">
        <f>IF(ANC_DualTest_Share_Y1=100,ANC_Population/4,ANC_Population/4*(ANC_DualTest_Share_Y1/100))</f>
        <v>#VALUE!</v>
      </c>
      <c r="D7" s="14">
        <f>Y1_Screening_Target</f>
        <v>0</v>
      </c>
      <c r="E7" s="14" t="e">
        <f t="shared" si="0"/>
        <v>#VALUE!</v>
      </c>
      <c r="F7" s="14">
        <f t="shared" si="1"/>
        <v>0</v>
      </c>
      <c r="G7" s="14" t="e">
        <f t="shared" ref="G7:G17" si="3">E7+F7</f>
        <v>#VALUE!</v>
      </c>
      <c r="H7" s="14">
        <v>0</v>
      </c>
      <c r="I7" s="14" t="e">
        <f t="shared" si="2"/>
        <v>#VALUE!</v>
      </c>
      <c r="J7" s="14" t="e">
        <f t="shared" ref="J7:J17" si="4">G7+H7+I7</f>
        <v>#VALUE!</v>
      </c>
    </row>
    <row r="8" spans="1:10" x14ac:dyDescent="0.35">
      <c r="A8" s="13" t="s">
        <v>27</v>
      </c>
      <c r="B8" s="13">
        <v>1</v>
      </c>
      <c r="C8" s="14" t="e">
        <f>IF(ANC_DualTest_Share_Y1=100,ANC_Population/4,ANC_Population/4*(ANC_DualTest_Share_Y1/100))</f>
        <v>#VALUE!</v>
      </c>
      <c r="D8" s="14">
        <f>Y1_Screening_Target</f>
        <v>0</v>
      </c>
      <c r="E8" s="14" t="e">
        <f t="shared" si="0"/>
        <v>#VALUE!</v>
      </c>
      <c r="F8" s="14">
        <f t="shared" si="1"/>
        <v>0</v>
      </c>
      <c r="G8" s="14" t="e">
        <f t="shared" si="3"/>
        <v>#VALUE!</v>
      </c>
      <c r="H8" s="14">
        <v>0</v>
      </c>
      <c r="I8" s="14" t="e">
        <f t="shared" si="2"/>
        <v>#VALUE!</v>
      </c>
      <c r="J8" s="14" t="e">
        <f t="shared" si="4"/>
        <v>#VALUE!</v>
      </c>
    </row>
    <row r="9" spans="1:10" x14ac:dyDescent="0.35">
      <c r="A9" s="13" t="s">
        <v>28</v>
      </c>
      <c r="B9" s="13">
        <v>1</v>
      </c>
      <c r="C9" s="14" t="e">
        <f>IF(ANC_DualTest_Share_Y1=100,ANC_Population/4,ANC_Population/4*(ANC_DualTest_Share_Y1/100))</f>
        <v>#VALUE!</v>
      </c>
      <c r="D9" s="14">
        <f>Y1_Screening_Target</f>
        <v>0</v>
      </c>
      <c r="E9" s="14" t="e">
        <f t="shared" si="0"/>
        <v>#VALUE!</v>
      </c>
      <c r="F9" s="14">
        <f t="shared" si="1"/>
        <v>0</v>
      </c>
      <c r="G9" s="14" t="e">
        <f t="shared" si="3"/>
        <v>#VALUE!</v>
      </c>
      <c r="H9" s="14">
        <v>0</v>
      </c>
      <c r="I9" s="14" t="e">
        <f t="shared" si="2"/>
        <v>#VALUE!</v>
      </c>
      <c r="J9" s="14" t="e">
        <f t="shared" si="4"/>
        <v>#VALUE!</v>
      </c>
    </row>
    <row r="10" spans="1:10" x14ac:dyDescent="0.35">
      <c r="A10" s="13" t="s">
        <v>25</v>
      </c>
      <c r="B10" s="13">
        <v>2</v>
      </c>
      <c r="C10" s="14" t="e">
        <f>IF(ANC_DualTest_Share_Y2=100,ANC_Population*(1+Pop_Growth_Rate/100)/4,ANC_Population*(1+Pop_Growth_Rate/100)/4*(ANC_DualTest_Share_Y2/100))</f>
        <v>#VALUE!</v>
      </c>
      <c r="D10" s="14">
        <f>Y2_Screening_Target</f>
        <v>0</v>
      </c>
      <c r="E10" s="14" t="e">
        <f t="shared" si="0"/>
        <v>#VALUE!</v>
      </c>
      <c r="F10" s="14">
        <f t="shared" si="1"/>
        <v>0</v>
      </c>
      <c r="G10" s="14" t="e">
        <f t="shared" si="3"/>
        <v>#VALUE!</v>
      </c>
      <c r="H10" s="14" t="e">
        <f t="shared" ref="H10:H14" si="5">(G10/3)*DualTest_Buffer</f>
        <v>#VALUE!</v>
      </c>
      <c r="I10" s="14" t="e">
        <f t="shared" si="2"/>
        <v>#VALUE!</v>
      </c>
      <c r="J10" s="14" t="e">
        <f t="shared" si="4"/>
        <v>#VALUE!</v>
      </c>
    </row>
    <row r="11" spans="1:10" x14ac:dyDescent="0.35">
      <c r="A11" s="13" t="s">
        <v>26</v>
      </c>
      <c r="B11" s="13">
        <v>2</v>
      </c>
      <c r="C11" s="14" t="e">
        <f>IF(ANC_DualTest_Share_Y2=100,ANC_Population*(1+Pop_Growth_Rate/100)/4,ANC_Population*(1+Pop_Growth_Rate/100)/4*(ANC_DualTest_Share_Y2/100))</f>
        <v>#VALUE!</v>
      </c>
      <c r="D11" s="14">
        <f>Y2_Screening_Target</f>
        <v>0</v>
      </c>
      <c r="E11" s="14" t="e">
        <f t="shared" si="0"/>
        <v>#VALUE!</v>
      </c>
      <c r="F11" s="14">
        <f t="shared" si="1"/>
        <v>0</v>
      </c>
      <c r="G11" s="14" t="e">
        <f t="shared" si="3"/>
        <v>#VALUE!</v>
      </c>
      <c r="H11" s="14">
        <v>0</v>
      </c>
      <c r="I11" s="14" t="e">
        <f t="shared" si="2"/>
        <v>#VALUE!</v>
      </c>
      <c r="J11" s="14" t="e">
        <f t="shared" si="4"/>
        <v>#VALUE!</v>
      </c>
    </row>
    <row r="12" spans="1:10" x14ac:dyDescent="0.35">
      <c r="A12" s="13" t="s">
        <v>27</v>
      </c>
      <c r="B12" s="13">
        <v>2</v>
      </c>
      <c r="C12" s="14" t="e">
        <f>IF(ANC_DualTest_Share_Y2=100,ANC_Population*(1+Pop_Growth_Rate/100)/4,ANC_Population*(1+Pop_Growth_Rate/100)/4*(ANC_DualTest_Share_Y2/100))</f>
        <v>#VALUE!</v>
      </c>
      <c r="D12" s="14">
        <f>Y2_Screening_Target</f>
        <v>0</v>
      </c>
      <c r="E12" s="14" t="e">
        <f t="shared" si="0"/>
        <v>#VALUE!</v>
      </c>
      <c r="F12" s="14">
        <f t="shared" si="1"/>
        <v>0</v>
      </c>
      <c r="G12" s="14" t="e">
        <f t="shared" si="3"/>
        <v>#VALUE!</v>
      </c>
      <c r="H12" s="14">
        <v>0</v>
      </c>
      <c r="I12" s="14" t="e">
        <f t="shared" si="2"/>
        <v>#VALUE!</v>
      </c>
      <c r="J12" s="14" t="e">
        <f t="shared" si="4"/>
        <v>#VALUE!</v>
      </c>
    </row>
    <row r="13" spans="1:10" x14ac:dyDescent="0.35">
      <c r="A13" s="13" t="s">
        <v>28</v>
      </c>
      <c r="B13" s="13">
        <v>2</v>
      </c>
      <c r="C13" s="14" t="e">
        <f>IF(ANC_DualTest_Share_Y2=100,ANC_Population*(1+Pop_Growth_Rate/100)/4,ANC_Population*(1+Pop_Growth_Rate/100)/4*(ANC_DualTest_Share_Y2/100))</f>
        <v>#VALUE!</v>
      </c>
      <c r="D13" s="14">
        <f>Y2_Screening_Target</f>
        <v>0</v>
      </c>
      <c r="E13" s="14" t="e">
        <f t="shared" si="0"/>
        <v>#VALUE!</v>
      </c>
      <c r="F13" s="14">
        <f t="shared" si="1"/>
        <v>0</v>
      </c>
      <c r="G13" s="14" t="e">
        <f t="shared" si="3"/>
        <v>#VALUE!</v>
      </c>
      <c r="H13" s="14">
        <v>0</v>
      </c>
      <c r="I13" s="14" t="e">
        <f t="shared" si="2"/>
        <v>#VALUE!</v>
      </c>
      <c r="J13" s="14" t="e">
        <f t="shared" si="4"/>
        <v>#VALUE!</v>
      </c>
    </row>
    <row r="14" spans="1:10" x14ac:dyDescent="0.35">
      <c r="A14" s="13" t="s">
        <v>25</v>
      </c>
      <c r="B14" s="13">
        <v>3</v>
      </c>
      <c r="C14" s="14" t="e">
        <f>IF(ANC_DualTest_Share_Y3=100,ANC_Population*(1+Pop_Growth_Rate/100)^2/4,ANC_Population*(1+Pop_Growth_Rate/100)^2/4*(ANC_DualTest_Share_Y3/100))</f>
        <v>#VALUE!</v>
      </c>
      <c r="D14" s="14">
        <f>Y3_Screening_Target</f>
        <v>0</v>
      </c>
      <c r="E14" s="14" t="e">
        <f t="shared" si="0"/>
        <v>#VALUE!</v>
      </c>
      <c r="F14" s="14">
        <f t="shared" si="1"/>
        <v>0</v>
      </c>
      <c r="G14" s="14" t="e">
        <f t="shared" si="3"/>
        <v>#VALUE!</v>
      </c>
      <c r="H14" s="14" t="e">
        <f t="shared" si="5"/>
        <v>#VALUE!</v>
      </c>
      <c r="I14" s="14" t="e">
        <f t="shared" si="2"/>
        <v>#VALUE!</v>
      </c>
      <c r="J14" s="14" t="e">
        <f t="shared" si="4"/>
        <v>#VALUE!</v>
      </c>
    </row>
    <row r="15" spans="1:10" x14ac:dyDescent="0.35">
      <c r="A15" s="13" t="s">
        <v>26</v>
      </c>
      <c r="B15" s="13">
        <v>3</v>
      </c>
      <c r="C15" s="14" t="e">
        <f>IF(ANC_DualTest_Share_Y3=100,ANC_Population*(1+Pop_Growth_Rate/100)^2/4,ANC_Population*(1+Pop_Growth_Rate/100)^2/4*(ANC_DualTest_Share_Y3/100))</f>
        <v>#VALUE!</v>
      </c>
      <c r="D15" s="14">
        <f>Y3_Screening_Target</f>
        <v>0</v>
      </c>
      <c r="E15" s="14" t="e">
        <f t="shared" si="0"/>
        <v>#VALUE!</v>
      </c>
      <c r="F15" s="14">
        <f t="shared" si="1"/>
        <v>0</v>
      </c>
      <c r="G15" s="14" t="e">
        <f t="shared" si="3"/>
        <v>#VALUE!</v>
      </c>
      <c r="H15" s="14">
        <v>0</v>
      </c>
      <c r="I15" s="14" t="e">
        <f t="shared" si="2"/>
        <v>#VALUE!</v>
      </c>
      <c r="J15" s="14" t="e">
        <f t="shared" si="4"/>
        <v>#VALUE!</v>
      </c>
    </row>
    <row r="16" spans="1:10" x14ac:dyDescent="0.35">
      <c r="A16" s="13" t="s">
        <v>27</v>
      </c>
      <c r="B16" s="13">
        <v>3</v>
      </c>
      <c r="C16" s="14" t="e">
        <f>IF(ANC_DualTest_Share_Y3=100,ANC_Population*(1+Pop_Growth_Rate/100)^2/4,ANC_Population*(1+Pop_Growth_Rate/100)^2/4*(ANC_DualTest_Share_Y3/100))</f>
        <v>#VALUE!</v>
      </c>
      <c r="D16" s="14">
        <f>Y3_Screening_Target</f>
        <v>0</v>
      </c>
      <c r="E16" s="14" t="e">
        <f t="shared" si="0"/>
        <v>#VALUE!</v>
      </c>
      <c r="F16" s="14">
        <f t="shared" si="1"/>
        <v>0</v>
      </c>
      <c r="G16" s="14" t="e">
        <f t="shared" si="3"/>
        <v>#VALUE!</v>
      </c>
      <c r="H16" s="14">
        <v>0</v>
      </c>
      <c r="I16" s="14" t="e">
        <f t="shared" si="2"/>
        <v>#VALUE!</v>
      </c>
      <c r="J16" s="14" t="e">
        <f t="shared" si="4"/>
        <v>#VALUE!</v>
      </c>
    </row>
    <row r="17" spans="1:10" x14ac:dyDescent="0.35">
      <c r="A17" s="13" t="s">
        <v>28</v>
      </c>
      <c r="B17" s="13">
        <v>3</v>
      </c>
      <c r="C17" s="14" t="e">
        <f>IF(ANC_DualTest_Share_Y3=100,ANC_Population*(1+Pop_Growth_Rate/100)^2/4,ANC_Population*(1+Pop_Growth_Rate/100)^2/4*(ANC_DualTest_Share_Y3/100))</f>
        <v>#VALUE!</v>
      </c>
      <c r="D17" s="14">
        <f>Y3_Screening_Target</f>
        <v>0</v>
      </c>
      <c r="E17" s="14" t="e">
        <f t="shared" si="0"/>
        <v>#VALUE!</v>
      </c>
      <c r="F17" s="14">
        <f t="shared" si="1"/>
        <v>0</v>
      </c>
      <c r="G17" s="14" t="e">
        <f t="shared" si="3"/>
        <v>#VALUE!</v>
      </c>
      <c r="H17" s="14">
        <v>0</v>
      </c>
      <c r="I17" s="14" t="e">
        <f t="shared" si="2"/>
        <v>#VALUE!</v>
      </c>
      <c r="J17" s="14" t="e">
        <f t="shared" si="4"/>
        <v>#VALUE!</v>
      </c>
    </row>
    <row r="18" spans="1:10" x14ac:dyDescent="0.35">
      <c r="C18" s="48"/>
      <c r="D18" s="48"/>
      <c r="E18" s="48"/>
      <c r="F18" s="48"/>
      <c r="G18" s="48"/>
      <c r="H18" s="48"/>
      <c r="I18" s="48"/>
      <c r="J18" s="48"/>
    </row>
    <row r="19" spans="1:10" x14ac:dyDescent="0.35">
      <c r="A19" s="102" t="s">
        <v>29</v>
      </c>
      <c r="B19" s="102"/>
      <c r="C19" s="103"/>
      <c r="D19" s="103"/>
      <c r="E19" s="104" t="e">
        <f t="shared" ref="E19:F19" si="6">SUM(E6:E9)</f>
        <v>#VALUE!</v>
      </c>
      <c r="F19" s="104">
        <f t="shared" si="6"/>
        <v>0</v>
      </c>
      <c r="G19" s="103" t="e">
        <f>SUM(G6:G9)</f>
        <v>#VALUE!</v>
      </c>
      <c r="H19" s="103" t="e">
        <f t="shared" ref="H19:I19" si="7">SUM(H6:H9)</f>
        <v>#VALUE!</v>
      </c>
      <c r="I19" s="103" t="e">
        <f t="shared" si="7"/>
        <v>#VALUE!</v>
      </c>
      <c r="J19" s="103" t="e">
        <f>SUM(J6:J9)</f>
        <v>#VALUE!</v>
      </c>
    </row>
    <row r="20" spans="1:10" x14ac:dyDescent="0.35">
      <c r="A20" s="102" t="s">
        <v>30</v>
      </c>
      <c r="B20" s="102"/>
      <c r="C20" s="103"/>
      <c r="D20" s="103"/>
      <c r="E20" s="104" t="e">
        <f t="shared" ref="E20:J20" si="8">SUM(E10:E13)</f>
        <v>#VALUE!</v>
      </c>
      <c r="F20" s="104">
        <f t="shared" si="8"/>
        <v>0</v>
      </c>
      <c r="G20" s="103" t="e">
        <f t="shared" si="8"/>
        <v>#VALUE!</v>
      </c>
      <c r="H20" s="103" t="e">
        <f>SUM(H10:H13)</f>
        <v>#VALUE!</v>
      </c>
      <c r="I20" s="103" t="e">
        <f t="shared" si="8"/>
        <v>#VALUE!</v>
      </c>
      <c r="J20" s="103" t="e">
        <f t="shared" si="8"/>
        <v>#VALUE!</v>
      </c>
    </row>
    <row r="21" spans="1:10" x14ac:dyDescent="0.35">
      <c r="A21" s="102" t="s">
        <v>31</v>
      </c>
      <c r="B21" s="102"/>
      <c r="C21" s="103"/>
      <c r="D21" s="103"/>
      <c r="E21" s="104" t="e">
        <f t="shared" ref="E21:J21" si="9">SUM(E14:E17)</f>
        <v>#VALUE!</v>
      </c>
      <c r="F21" s="104">
        <f t="shared" si="9"/>
        <v>0</v>
      </c>
      <c r="G21" s="103" t="e">
        <f t="shared" si="9"/>
        <v>#VALUE!</v>
      </c>
      <c r="H21" s="103" t="e">
        <f t="shared" si="9"/>
        <v>#VALUE!</v>
      </c>
      <c r="I21" s="103" t="e">
        <f t="shared" si="9"/>
        <v>#VALUE!</v>
      </c>
      <c r="J21" s="103" t="e">
        <f t="shared" si="9"/>
        <v>#VALUE!</v>
      </c>
    </row>
    <row r="22" spans="1:10" x14ac:dyDescent="0.35">
      <c r="C22" s="48"/>
      <c r="D22" s="48"/>
      <c r="E22" s="48"/>
      <c r="F22" s="48"/>
      <c r="G22" s="48"/>
      <c r="H22" s="48"/>
      <c r="I22" s="48"/>
      <c r="J22" s="48"/>
    </row>
    <row r="23" spans="1:10" x14ac:dyDescent="0.35">
      <c r="A23" s="99" t="s">
        <v>32</v>
      </c>
      <c r="B23" s="99"/>
      <c r="C23" s="100"/>
      <c r="D23" s="100"/>
      <c r="E23" s="101"/>
      <c r="F23" s="101"/>
      <c r="G23" s="100" t="e">
        <f t="shared" ref="G23:I23" si="10">SUM(G19:G21)</f>
        <v>#VALUE!</v>
      </c>
      <c r="H23" s="100" t="e">
        <f t="shared" si="10"/>
        <v>#VALUE!</v>
      </c>
      <c r="I23" s="100" t="e">
        <f t="shared" si="10"/>
        <v>#VALUE!</v>
      </c>
      <c r="J23" s="100" t="e">
        <f>SUM(J19:J21)</f>
        <v>#VALUE!</v>
      </c>
    </row>
    <row r="25" spans="1:10" s="84" customFormat="1" ht="14.5" customHeight="1" x14ac:dyDescent="0.35">
      <c r="A25" s="83" t="s">
        <v>114</v>
      </c>
    </row>
    <row r="27" spans="1:10" ht="29" x14ac:dyDescent="0.35">
      <c r="A27" s="57" t="s">
        <v>19</v>
      </c>
      <c r="B27" s="57" t="s">
        <v>20</v>
      </c>
      <c r="C27" s="57" t="s">
        <v>129</v>
      </c>
      <c r="D27" s="57" t="s">
        <v>21</v>
      </c>
      <c r="E27" s="57" t="s">
        <v>65</v>
      </c>
      <c r="F27" s="57" t="s">
        <v>47</v>
      </c>
      <c r="G27" s="57" t="s">
        <v>48</v>
      </c>
      <c r="H27" s="57" t="s">
        <v>22</v>
      </c>
      <c r="I27" s="57" t="s">
        <v>23</v>
      </c>
      <c r="J27" s="57" t="s">
        <v>24</v>
      </c>
    </row>
    <row r="28" spans="1:10" x14ac:dyDescent="0.35">
      <c r="A28" s="13" t="s">
        <v>25</v>
      </c>
      <c r="B28" s="13">
        <v>1</v>
      </c>
      <c r="C28" s="14">
        <f>IF(Other_Population="",0,IF(Other_DualTest_Share_Y1=100,Other_Population/4,Other_Population/4*(Other_DualTest_Share_Y1/100)))</f>
        <v>0</v>
      </c>
      <c r="D28" s="14">
        <f>IF(Other_Population="",0,Other_Y1_Screening_Target)</f>
        <v>0</v>
      </c>
      <c r="E28" s="14">
        <f t="shared" ref="E28:E39" si="11">IF(Other_Population="",0,C28*(D28/100)*Other_Tests_Per_Person)</f>
        <v>0</v>
      </c>
      <c r="F28" s="14">
        <f t="shared" ref="F28:F39" si="12">IF(Other_Population="",0,IF(Other_Partners_Rate_Screening="",0,(C28*(D28/100)*(Other_Syphilis_Prevalence/100))*Other_Partners_Rate_Screening))</f>
        <v>0</v>
      </c>
      <c r="G28" s="14">
        <f>E28+F28</f>
        <v>0</v>
      </c>
      <c r="H28" s="14">
        <f>(G28/3)*IF(Other_DualTest_Buffer="",DualTest_Buffer,Other_DualTest_Buffer)</f>
        <v>0</v>
      </c>
      <c r="I28" s="14">
        <f t="shared" ref="I28:I39" si="13">(G28+H28)*(Wastage_Rate/100)</f>
        <v>0</v>
      </c>
      <c r="J28" s="14">
        <f>G28+H28+I28</f>
        <v>0</v>
      </c>
    </row>
    <row r="29" spans="1:10" x14ac:dyDescent="0.35">
      <c r="A29" s="13" t="s">
        <v>26</v>
      </c>
      <c r="B29" s="13">
        <v>1</v>
      </c>
      <c r="C29" s="14">
        <f>IF(Other_Population="",0,IF(Other_DualTest_Share_Y1=100,Other_Population/4,Other_Population/4*(Other_DualTest_Share_Y1/100)))</f>
        <v>0</v>
      </c>
      <c r="D29" s="14">
        <f>IF(Other_Population="",0,Other_Y1_Screening_Target)</f>
        <v>0</v>
      </c>
      <c r="E29" s="14">
        <f t="shared" si="11"/>
        <v>0</v>
      </c>
      <c r="F29" s="14">
        <f t="shared" si="12"/>
        <v>0</v>
      </c>
      <c r="G29" s="14">
        <f t="shared" ref="G29:G39" si="14">E29+F29</f>
        <v>0</v>
      </c>
      <c r="H29" s="14">
        <v>0</v>
      </c>
      <c r="I29" s="14">
        <f t="shared" si="13"/>
        <v>0</v>
      </c>
      <c r="J29" s="14">
        <f t="shared" ref="J29:J39" si="15">G29+H29+I29</f>
        <v>0</v>
      </c>
    </row>
    <row r="30" spans="1:10" x14ac:dyDescent="0.35">
      <c r="A30" s="13" t="s">
        <v>27</v>
      </c>
      <c r="B30" s="13">
        <v>1</v>
      </c>
      <c r="C30" s="14">
        <f>IF(Other_Population="",0,IF(Other_DualTest_Share_Y1=100,Other_Population/4,Other_Population/4*(Other_DualTest_Share_Y1/100)))</f>
        <v>0</v>
      </c>
      <c r="D30" s="14">
        <f>IF(Other_Population="",0,Other_Y1_Screening_Target)</f>
        <v>0</v>
      </c>
      <c r="E30" s="14">
        <f t="shared" si="11"/>
        <v>0</v>
      </c>
      <c r="F30" s="14">
        <f t="shared" si="12"/>
        <v>0</v>
      </c>
      <c r="G30" s="14">
        <f t="shared" si="14"/>
        <v>0</v>
      </c>
      <c r="H30" s="14">
        <v>0</v>
      </c>
      <c r="I30" s="14">
        <f t="shared" si="13"/>
        <v>0</v>
      </c>
      <c r="J30" s="14">
        <f t="shared" si="15"/>
        <v>0</v>
      </c>
    </row>
    <row r="31" spans="1:10" x14ac:dyDescent="0.35">
      <c r="A31" s="13" t="s">
        <v>28</v>
      </c>
      <c r="B31" s="13">
        <v>1</v>
      </c>
      <c r="C31" s="14">
        <f>IF(Other_Population="",0,IF(Other_DualTest_Share_Y1=100,Other_Population/4,Other_Population/4*(Other_DualTest_Share_Y1/100)))</f>
        <v>0</v>
      </c>
      <c r="D31" s="14">
        <f>IF(Other_Population="",0,Other_Y1_Screening_Target)</f>
        <v>0</v>
      </c>
      <c r="E31" s="14">
        <f t="shared" si="11"/>
        <v>0</v>
      </c>
      <c r="F31" s="14">
        <f t="shared" si="12"/>
        <v>0</v>
      </c>
      <c r="G31" s="14">
        <f t="shared" ref="G31" si="16">E31+F31</f>
        <v>0</v>
      </c>
      <c r="H31" s="14">
        <v>0</v>
      </c>
      <c r="I31" s="14">
        <f t="shared" ref="I31" si="17">(G31+H31)*(Wastage_Rate/100)</f>
        <v>0</v>
      </c>
      <c r="J31" s="14">
        <f t="shared" ref="J31" si="18">G31+H31+I31</f>
        <v>0</v>
      </c>
    </row>
    <row r="32" spans="1:10" x14ac:dyDescent="0.35">
      <c r="A32" s="13" t="s">
        <v>25</v>
      </c>
      <c r="B32" s="13">
        <v>2</v>
      </c>
      <c r="C32" s="14">
        <f>IF(Other_Population="",0,IF(Other_DualTest_Share_Y2=100,Other_Population/4,Other_Population/4*(Other_DualTest_Share_Y2/100)))</f>
        <v>0</v>
      </c>
      <c r="D32" s="14">
        <f>IF(Other_Population="",0,Other_Y2_Screening_Target)</f>
        <v>0</v>
      </c>
      <c r="E32" s="14">
        <f t="shared" si="11"/>
        <v>0</v>
      </c>
      <c r="F32" s="14">
        <f t="shared" si="12"/>
        <v>0</v>
      </c>
      <c r="G32" s="14">
        <f t="shared" si="14"/>
        <v>0</v>
      </c>
      <c r="H32" s="14">
        <f>(G32/3)*IF(Other_DualTest_Buffer="",DualTest_Buffer,Other_DualTest_Buffer)</f>
        <v>0</v>
      </c>
      <c r="I32" s="14">
        <f t="shared" si="13"/>
        <v>0</v>
      </c>
      <c r="J32" s="14">
        <f t="shared" si="15"/>
        <v>0</v>
      </c>
    </row>
    <row r="33" spans="1:10" x14ac:dyDescent="0.35">
      <c r="A33" s="13" t="s">
        <v>26</v>
      </c>
      <c r="B33" s="13">
        <v>2</v>
      </c>
      <c r="C33" s="14">
        <f>IF(Other_Population="",0,IF(Other_DualTest_Share_Y2=100,Other_Population/4,Other_Population/4*(Other_DualTest_Share_Y2/100)))</f>
        <v>0</v>
      </c>
      <c r="D33" s="14">
        <f>IF(Other_Population="",0,Other_Y2_Screening_Target)</f>
        <v>0</v>
      </c>
      <c r="E33" s="14">
        <f t="shared" si="11"/>
        <v>0</v>
      </c>
      <c r="F33" s="14">
        <f t="shared" si="12"/>
        <v>0</v>
      </c>
      <c r="G33" s="14">
        <f t="shared" si="14"/>
        <v>0</v>
      </c>
      <c r="H33" s="14">
        <v>0</v>
      </c>
      <c r="I33" s="14">
        <f t="shared" si="13"/>
        <v>0</v>
      </c>
      <c r="J33" s="14">
        <f t="shared" si="15"/>
        <v>0</v>
      </c>
    </row>
    <row r="34" spans="1:10" x14ac:dyDescent="0.35">
      <c r="A34" s="13" t="s">
        <v>27</v>
      </c>
      <c r="B34" s="13">
        <v>2</v>
      </c>
      <c r="C34" s="14">
        <f>IF(Other_Population="",0,IF(Other_DualTest_Share_Y2=100,Other_Population/4,Other_Population/4*(Other_DualTest_Share_Y2/100)))</f>
        <v>0</v>
      </c>
      <c r="D34" s="14">
        <f>IF(Other_Population="",0,Other_Y2_Screening_Target)</f>
        <v>0</v>
      </c>
      <c r="E34" s="14">
        <f t="shared" si="11"/>
        <v>0</v>
      </c>
      <c r="F34" s="14">
        <f t="shared" si="12"/>
        <v>0</v>
      </c>
      <c r="G34" s="14">
        <f t="shared" si="14"/>
        <v>0</v>
      </c>
      <c r="H34" s="14">
        <v>0</v>
      </c>
      <c r="I34" s="14">
        <f t="shared" si="13"/>
        <v>0</v>
      </c>
      <c r="J34" s="14">
        <f t="shared" si="15"/>
        <v>0</v>
      </c>
    </row>
    <row r="35" spans="1:10" x14ac:dyDescent="0.35">
      <c r="A35" s="13" t="s">
        <v>28</v>
      </c>
      <c r="B35" s="13">
        <v>2</v>
      </c>
      <c r="C35" s="14">
        <f>IF(Other_Population="",0,IF(Other_DualTest_Share_Y2=100,Other_Population/4,Other_Population/4*(Other_DualTest_Share_Y2/100)))</f>
        <v>0</v>
      </c>
      <c r="D35" s="14">
        <f>IF(Other_Population="",0,Other_Y2_Screening_Target)</f>
        <v>0</v>
      </c>
      <c r="E35" s="14">
        <f t="shared" si="11"/>
        <v>0</v>
      </c>
      <c r="F35" s="14">
        <f t="shared" si="12"/>
        <v>0</v>
      </c>
      <c r="G35" s="14">
        <f t="shared" si="14"/>
        <v>0</v>
      </c>
      <c r="H35" s="14">
        <v>0</v>
      </c>
      <c r="I35" s="14">
        <f t="shared" si="13"/>
        <v>0</v>
      </c>
      <c r="J35" s="14">
        <f t="shared" si="15"/>
        <v>0</v>
      </c>
    </row>
    <row r="36" spans="1:10" x14ac:dyDescent="0.35">
      <c r="A36" s="13" t="s">
        <v>25</v>
      </c>
      <c r="B36" s="13">
        <v>3</v>
      </c>
      <c r="C36" s="14">
        <f>IF(Other_Population="",0,IF(Other_DualTest_Share_Y3=100,Other_Population/4,Other_Population/4*(Other_DualTest_Share_Y3/100)))</f>
        <v>0</v>
      </c>
      <c r="D36" s="13">
        <f>IF(Other_Population="",0,Other_Y3_Screening_Target)</f>
        <v>0</v>
      </c>
      <c r="E36" s="14">
        <f t="shared" si="11"/>
        <v>0</v>
      </c>
      <c r="F36" s="14">
        <f t="shared" si="12"/>
        <v>0</v>
      </c>
      <c r="G36" s="14">
        <f t="shared" si="14"/>
        <v>0</v>
      </c>
      <c r="H36" s="14">
        <f>(G36/3)*IF(Other_DualTest_Buffer="",DualTest_Buffer,Other_DualTest_Buffer)</f>
        <v>0</v>
      </c>
      <c r="I36" s="14">
        <f t="shared" si="13"/>
        <v>0</v>
      </c>
      <c r="J36" s="14">
        <f t="shared" si="15"/>
        <v>0</v>
      </c>
    </row>
    <row r="37" spans="1:10" x14ac:dyDescent="0.35">
      <c r="A37" s="13" t="s">
        <v>26</v>
      </c>
      <c r="B37" s="13">
        <v>3</v>
      </c>
      <c r="C37" s="14">
        <f>IF(Other_Population="",0,IF(Other_DualTest_Share_Y3=100,Other_Population/4,Other_Population/4*(Other_DualTest_Share_Y3/100)))</f>
        <v>0</v>
      </c>
      <c r="D37" s="13">
        <f>IF(Other_Population="",0,Other_Y3_Screening_Target)</f>
        <v>0</v>
      </c>
      <c r="E37" s="14">
        <f t="shared" si="11"/>
        <v>0</v>
      </c>
      <c r="F37" s="14">
        <f t="shared" si="12"/>
        <v>0</v>
      </c>
      <c r="G37" s="14">
        <f t="shared" si="14"/>
        <v>0</v>
      </c>
      <c r="H37" s="14">
        <v>0</v>
      </c>
      <c r="I37" s="14">
        <f t="shared" si="13"/>
        <v>0</v>
      </c>
      <c r="J37" s="14">
        <f t="shared" si="15"/>
        <v>0</v>
      </c>
    </row>
    <row r="38" spans="1:10" x14ac:dyDescent="0.35">
      <c r="A38" s="13" t="s">
        <v>27</v>
      </c>
      <c r="B38" s="13">
        <v>3</v>
      </c>
      <c r="C38" s="14">
        <f>IF(Other_Population="",0,IF(Other_DualTest_Share_Y3=100,Other_Population/4,Other_Population/4*(Other_DualTest_Share_Y3/100)))</f>
        <v>0</v>
      </c>
      <c r="D38" s="13">
        <f>IF(Other_Population="",0,Other_Y3_Screening_Target)</f>
        <v>0</v>
      </c>
      <c r="E38" s="14">
        <f t="shared" si="11"/>
        <v>0</v>
      </c>
      <c r="F38" s="14">
        <f t="shared" si="12"/>
        <v>0</v>
      </c>
      <c r="G38" s="14">
        <f t="shared" si="14"/>
        <v>0</v>
      </c>
      <c r="H38" s="14">
        <v>0</v>
      </c>
      <c r="I38" s="14">
        <f t="shared" si="13"/>
        <v>0</v>
      </c>
      <c r="J38" s="14">
        <f t="shared" si="15"/>
        <v>0</v>
      </c>
    </row>
    <row r="39" spans="1:10" x14ac:dyDescent="0.35">
      <c r="A39" s="13" t="s">
        <v>28</v>
      </c>
      <c r="B39" s="13">
        <v>3</v>
      </c>
      <c r="C39" s="14">
        <f>IF(Other_Population="",0,IF(Other_DualTest_Share_Y3=100,Other_Population/4,Other_Population/4*(Other_DualTest_Share_Y3/100)))</f>
        <v>0</v>
      </c>
      <c r="D39" s="13">
        <f>IF(Other_Population="",0,Other_Y3_Screening_Target)</f>
        <v>0</v>
      </c>
      <c r="E39" s="14">
        <f t="shared" si="11"/>
        <v>0</v>
      </c>
      <c r="F39" s="14">
        <f t="shared" si="12"/>
        <v>0</v>
      </c>
      <c r="G39" s="14">
        <f t="shared" si="14"/>
        <v>0</v>
      </c>
      <c r="H39" s="14">
        <v>0</v>
      </c>
      <c r="I39" s="14">
        <f t="shared" si="13"/>
        <v>0</v>
      </c>
      <c r="J39" s="14">
        <f t="shared" si="15"/>
        <v>0</v>
      </c>
    </row>
    <row r="40" spans="1:10" x14ac:dyDescent="0.35">
      <c r="C40" s="48"/>
      <c r="D40" s="48"/>
      <c r="E40" s="48"/>
      <c r="F40" s="48"/>
      <c r="G40" s="48"/>
      <c r="H40" s="48"/>
      <c r="I40" s="48"/>
      <c r="J40" s="48"/>
    </row>
    <row r="41" spans="1:10" x14ac:dyDescent="0.35">
      <c r="A41" s="102" t="s">
        <v>29</v>
      </c>
      <c r="B41" s="102"/>
      <c r="C41" s="103"/>
      <c r="D41" s="103"/>
      <c r="E41" s="104">
        <f t="shared" ref="E41:F41" si="19">SUM(E28:E31)</f>
        <v>0</v>
      </c>
      <c r="F41" s="104">
        <f t="shared" si="19"/>
        <v>0</v>
      </c>
      <c r="G41" s="103">
        <f>SUM(G28:G31)</f>
        <v>0</v>
      </c>
      <c r="H41" s="103">
        <f t="shared" ref="H41:I41" si="20">SUM(H28:H31)</f>
        <v>0</v>
      </c>
      <c r="I41" s="103">
        <f t="shared" si="20"/>
        <v>0</v>
      </c>
      <c r="J41" s="103">
        <f>SUM(J28:J31)</f>
        <v>0</v>
      </c>
    </row>
    <row r="42" spans="1:10" x14ac:dyDescent="0.35">
      <c r="A42" s="102" t="s">
        <v>30</v>
      </c>
      <c r="B42" s="102"/>
      <c r="C42" s="103"/>
      <c r="D42" s="103"/>
      <c r="E42" s="104">
        <f t="shared" ref="E42:G42" si="21">SUM(E32:E35)</f>
        <v>0</v>
      </c>
      <c r="F42" s="104">
        <f t="shared" si="21"/>
        <v>0</v>
      </c>
      <c r="G42" s="103">
        <f t="shared" si="21"/>
        <v>0</v>
      </c>
      <c r="H42" s="103">
        <f>SUM(H32:H35)</f>
        <v>0</v>
      </c>
      <c r="I42" s="103">
        <f t="shared" ref="I42:J42" si="22">SUM(I32:I35)</f>
        <v>0</v>
      </c>
      <c r="J42" s="103">
        <f t="shared" si="22"/>
        <v>0</v>
      </c>
    </row>
    <row r="43" spans="1:10" x14ac:dyDescent="0.35">
      <c r="A43" s="102" t="s">
        <v>31</v>
      </c>
      <c r="B43" s="102"/>
      <c r="C43" s="103"/>
      <c r="D43" s="103"/>
      <c r="E43" s="104">
        <f t="shared" ref="E43:J43" si="23">SUM(E36:E39)</f>
        <v>0</v>
      </c>
      <c r="F43" s="104">
        <f t="shared" si="23"/>
        <v>0</v>
      </c>
      <c r="G43" s="103">
        <f t="shared" si="23"/>
        <v>0</v>
      </c>
      <c r="H43" s="103">
        <f t="shared" si="23"/>
        <v>0</v>
      </c>
      <c r="I43" s="103">
        <f t="shared" si="23"/>
        <v>0</v>
      </c>
      <c r="J43" s="103">
        <f t="shared" si="23"/>
        <v>0</v>
      </c>
    </row>
    <row r="44" spans="1:10" x14ac:dyDescent="0.35">
      <c r="C44" s="48"/>
      <c r="D44" s="48"/>
      <c r="E44" s="48"/>
      <c r="F44" s="48"/>
      <c r="G44" s="48"/>
      <c r="H44" s="48"/>
      <c r="I44" s="48"/>
      <c r="J44" s="48"/>
    </row>
    <row r="45" spans="1:10" x14ac:dyDescent="0.35">
      <c r="A45" s="99" t="s">
        <v>32</v>
      </c>
      <c r="B45" s="99"/>
      <c r="C45" s="100"/>
      <c r="D45" s="100"/>
      <c r="E45" s="101"/>
      <c r="F45" s="101"/>
      <c r="G45" s="100">
        <f t="shared" ref="G45:I45" si="24">SUM(G41:G43)</f>
        <v>0</v>
      </c>
      <c r="H45" s="100">
        <f t="shared" si="24"/>
        <v>0</v>
      </c>
      <c r="I45" s="100">
        <f t="shared" si="24"/>
        <v>0</v>
      </c>
      <c r="J45" s="100">
        <f>SUM(J41:J43)</f>
        <v>0</v>
      </c>
    </row>
  </sheetData>
  <sheetProtection sheet="1" selectLockedCells="1" selectUn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1BDA3-F638-4896-90B5-881B5235948D}">
  <dimension ref="A1:J45"/>
  <sheetViews>
    <sheetView workbookViewId="0">
      <selection activeCell="J22" sqref="J22"/>
    </sheetView>
  </sheetViews>
  <sheetFormatPr defaultRowHeight="14.5" x14ac:dyDescent="0.35"/>
  <cols>
    <col min="1" max="1" width="12.81640625" customWidth="1"/>
    <col min="2" max="2" width="5" bestFit="1" customWidth="1"/>
    <col min="3" max="3" width="21.54296875" customWidth="1"/>
    <col min="4" max="4" width="25.7265625" customWidth="1"/>
    <col min="5" max="5" width="12.7265625" customWidth="1"/>
    <col min="6" max="6" width="12.1796875" customWidth="1"/>
    <col min="7" max="7" width="16.54296875" customWidth="1"/>
    <col min="8" max="8" width="14.26953125" bestFit="1" customWidth="1"/>
    <col min="9" max="9" width="11.1796875" bestFit="1" customWidth="1"/>
    <col min="10" max="10" width="18.453125" customWidth="1"/>
  </cols>
  <sheetData>
    <row r="1" spans="1:10" s="11" customFormat="1" ht="28.5" customHeight="1" x14ac:dyDescent="0.35">
      <c r="A1" s="11" t="s">
        <v>87</v>
      </c>
    </row>
    <row r="2" spans="1:10" s="82" customFormat="1" ht="14.5" customHeight="1" x14ac:dyDescent="0.35"/>
    <row r="3" spans="1:10" s="84" customFormat="1" ht="14.5" customHeight="1" x14ac:dyDescent="0.35">
      <c r="A3" s="83" t="s">
        <v>113</v>
      </c>
    </row>
    <row r="4" spans="1:10" s="12" customFormat="1" ht="14.5" customHeight="1" x14ac:dyDescent="0.35"/>
    <row r="5" spans="1:10" ht="29" x14ac:dyDescent="0.35">
      <c r="A5" s="57" t="s">
        <v>19</v>
      </c>
      <c r="B5" s="57" t="s">
        <v>20</v>
      </c>
      <c r="C5" s="57" t="s">
        <v>128</v>
      </c>
      <c r="D5" s="57" t="s">
        <v>21</v>
      </c>
      <c r="E5" s="57" t="s">
        <v>110</v>
      </c>
      <c r="F5" s="57" t="s">
        <v>47</v>
      </c>
      <c r="G5" s="57" t="s">
        <v>57</v>
      </c>
      <c r="H5" s="57" t="s">
        <v>58</v>
      </c>
      <c r="I5" s="57" t="s">
        <v>59</v>
      </c>
      <c r="J5" s="57" t="s">
        <v>119</v>
      </c>
    </row>
    <row r="6" spans="1:10" x14ac:dyDescent="0.35">
      <c r="A6" s="13" t="s">
        <v>25</v>
      </c>
      <c r="B6" s="13">
        <v>1</v>
      </c>
      <c r="C6" s="14" t="e">
        <f>IF(ANC_HBsAgTest_Share_Y1=100,ANC_Population/4,ANC_Population/4*(ANC_HBsAgTest_Share_Y1/100))</f>
        <v>#VALUE!</v>
      </c>
      <c r="D6" s="14">
        <f>HBV_Y1_Screening_Target</f>
        <v>0</v>
      </c>
      <c r="E6" s="14" t="e">
        <f t="shared" ref="E6:E17" si="0">C6*(D6/100)*HBV_Tests_Per_Pregnancy</f>
        <v>#VALUE!</v>
      </c>
      <c r="F6" s="14">
        <f t="shared" ref="F6:F17" si="1">IF(HBV_Partners_Tested_Rate="", 0, (C6*(D6/100)*(HBV_Prevalence/100))*HBV_Partners_Tested_Rate)</f>
        <v>0</v>
      </c>
      <c r="G6" s="14" t="e">
        <f>E6+F6</f>
        <v>#VALUE!</v>
      </c>
      <c r="H6" s="14" t="e">
        <f>(G6/3)*HBsAg_Buffer</f>
        <v>#VALUE!</v>
      </c>
      <c r="I6" s="14" t="e">
        <f t="shared" ref="I6:I17" si="2">(G6+H6)*(HBsAg_Wastage_Rate/100)</f>
        <v>#VALUE!</v>
      </c>
      <c r="J6" s="14" t="e">
        <f>G6+H6+I6</f>
        <v>#VALUE!</v>
      </c>
    </row>
    <row r="7" spans="1:10" x14ac:dyDescent="0.35">
      <c r="A7" s="13" t="s">
        <v>26</v>
      </c>
      <c r="B7" s="13">
        <v>1</v>
      </c>
      <c r="C7" s="14" t="e">
        <f>IF(ANC_HBsAgTest_Share_Y1=100,ANC_Population/4,ANC_Population/4*(ANC_HBsAgTest_Share_Y1/100))</f>
        <v>#VALUE!</v>
      </c>
      <c r="D7" s="14">
        <f>HBV_Y1_Screening_Target</f>
        <v>0</v>
      </c>
      <c r="E7" s="14" t="e">
        <f t="shared" si="0"/>
        <v>#VALUE!</v>
      </c>
      <c r="F7" s="14">
        <f t="shared" si="1"/>
        <v>0</v>
      </c>
      <c r="G7" s="14" t="e">
        <f t="shared" ref="G7:G17" si="3">E7+F7</f>
        <v>#VALUE!</v>
      </c>
      <c r="H7" s="14">
        <v>0</v>
      </c>
      <c r="I7" s="14" t="e">
        <f t="shared" si="2"/>
        <v>#VALUE!</v>
      </c>
      <c r="J7" s="14" t="e">
        <f t="shared" ref="J7:J17" si="4">G7+H7+I7</f>
        <v>#VALUE!</v>
      </c>
    </row>
    <row r="8" spans="1:10" x14ac:dyDescent="0.35">
      <c r="A8" s="13" t="s">
        <v>27</v>
      </c>
      <c r="B8" s="13">
        <v>1</v>
      </c>
      <c r="C8" s="14" t="e">
        <f>IF(ANC_HBsAgTest_Share_Y1=100,ANC_Population/4,ANC_Population/4*(ANC_HBsAgTest_Share_Y1/100))</f>
        <v>#VALUE!</v>
      </c>
      <c r="D8" s="14">
        <f>HBV_Y1_Screening_Target</f>
        <v>0</v>
      </c>
      <c r="E8" s="14" t="e">
        <f t="shared" si="0"/>
        <v>#VALUE!</v>
      </c>
      <c r="F8" s="14">
        <f t="shared" si="1"/>
        <v>0</v>
      </c>
      <c r="G8" s="14" t="e">
        <f t="shared" si="3"/>
        <v>#VALUE!</v>
      </c>
      <c r="H8" s="14">
        <v>0</v>
      </c>
      <c r="I8" s="14" t="e">
        <f t="shared" si="2"/>
        <v>#VALUE!</v>
      </c>
      <c r="J8" s="14" t="e">
        <f t="shared" si="4"/>
        <v>#VALUE!</v>
      </c>
    </row>
    <row r="9" spans="1:10" x14ac:dyDescent="0.35">
      <c r="A9" s="13" t="s">
        <v>28</v>
      </c>
      <c r="B9" s="13">
        <v>1</v>
      </c>
      <c r="C9" s="14" t="e">
        <f>IF(ANC_HBsAgTest_Share_Y1=100,ANC_Population/4,ANC_Population/4*(ANC_HBsAgTest_Share_Y1/100))</f>
        <v>#VALUE!</v>
      </c>
      <c r="D9" s="14">
        <f>HBV_Y1_Screening_Target</f>
        <v>0</v>
      </c>
      <c r="E9" s="14" t="e">
        <f t="shared" si="0"/>
        <v>#VALUE!</v>
      </c>
      <c r="F9" s="14">
        <f t="shared" si="1"/>
        <v>0</v>
      </c>
      <c r="G9" s="14" t="e">
        <f t="shared" si="3"/>
        <v>#VALUE!</v>
      </c>
      <c r="H9" s="14">
        <v>0</v>
      </c>
      <c r="I9" s="14" t="e">
        <f t="shared" si="2"/>
        <v>#VALUE!</v>
      </c>
      <c r="J9" s="14" t="e">
        <f t="shared" si="4"/>
        <v>#VALUE!</v>
      </c>
    </row>
    <row r="10" spans="1:10" x14ac:dyDescent="0.35">
      <c r="A10" s="13" t="s">
        <v>25</v>
      </c>
      <c r="B10" s="13">
        <v>2</v>
      </c>
      <c r="C10" s="14" t="e">
        <f>IF(ANC_HBsAgTest_Share_Y2=100,ANC_Population*(1+Pop_Growth_Rate/100)/4,ANC_Population*(1+Pop_Growth_Rate/100)/4*(ANC_HBsAgTest_Share_Y2/100))</f>
        <v>#VALUE!</v>
      </c>
      <c r="D10" s="14">
        <f>HBV_Y2_Screening_Target</f>
        <v>0</v>
      </c>
      <c r="E10" s="14" t="e">
        <f t="shared" si="0"/>
        <v>#VALUE!</v>
      </c>
      <c r="F10" s="14">
        <f t="shared" si="1"/>
        <v>0</v>
      </c>
      <c r="G10" s="14" t="e">
        <f t="shared" si="3"/>
        <v>#VALUE!</v>
      </c>
      <c r="H10" s="14" t="e">
        <f>(G10/3)*HBsAg_Buffer</f>
        <v>#VALUE!</v>
      </c>
      <c r="I10" s="14" t="e">
        <f t="shared" si="2"/>
        <v>#VALUE!</v>
      </c>
      <c r="J10" s="14" t="e">
        <f t="shared" si="4"/>
        <v>#VALUE!</v>
      </c>
    </row>
    <row r="11" spans="1:10" x14ac:dyDescent="0.35">
      <c r="A11" s="13" t="s">
        <v>26</v>
      </c>
      <c r="B11" s="13">
        <v>2</v>
      </c>
      <c r="C11" s="14" t="e">
        <f>IF(ANC_HBsAgTest_Share_Y2=100,ANC_Population*(1+Pop_Growth_Rate/100)/4,ANC_Population*(1+Pop_Growth_Rate/100)/4*(ANC_HBsAgTest_Share_Y2/100))</f>
        <v>#VALUE!</v>
      </c>
      <c r="D11" s="14">
        <f>HBV_Y2_Screening_Target</f>
        <v>0</v>
      </c>
      <c r="E11" s="14" t="e">
        <f t="shared" si="0"/>
        <v>#VALUE!</v>
      </c>
      <c r="F11" s="14">
        <f t="shared" si="1"/>
        <v>0</v>
      </c>
      <c r="G11" s="14" t="e">
        <f t="shared" si="3"/>
        <v>#VALUE!</v>
      </c>
      <c r="H11" s="14">
        <v>0</v>
      </c>
      <c r="I11" s="14" t="e">
        <f t="shared" si="2"/>
        <v>#VALUE!</v>
      </c>
      <c r="J11" s="14" t="e">
        <f t="shared" si="4"/>
        <v>#VALUE!</v>
      </c>
    </row>
    <row r="12" spans="1:10" x14ac:dyDescent="0.35">
      <c r="A12" s="13" t="s">
        <v>27</v>
      </c>
      <c r="B12" s="13">
        <v>2</v>
      </c>
      <c r="C12" s="14" t="e">
        <f>IF(ANC_HBsAgTest_Share_Y2=100,ANC_Population*(1+Pop_Growth_Rate/100)/4,ANC_Population*(1+Pop_Growth_Rate/100)/4*(ANC_HBsAgTest_Share_Y2/100))</f>
        <v>#VALUE!</v>
      </c>
      <c r="D12" s="14">
        <f>HBV_Y2_Screening_Target</f>
        <v>0</v>
      </c>
      <c r="E12" s="14" t="e">
        <f t="shared" si="0"/>
        <v>#VALUE!</v>
      </c>
      <c r="F12" s="14">
        <f t="shared" si="1"/>
        <v>0</v>
      </c>
      <c r="G12" s="14" t="e">
        <f t="shared" si="3"/>
        <v>#VALUE!</v>
      </c>
      <c r="H12" s="14">
        <v>0</v>
      </c>
      <c r="I12" s="14" t="e">
        <f t="shared" si="2"/>
        <v>#VALUE!</v>
      </c>
      <c r="J12" s="14" t="e">
        <f t="shared" si="4"/>
        <v>#VALUE!</v>
      </c>
    </row>
    <row r="13" spans="1:10" x14ac:dyDescent="0.35">
      <c r="A13" s="13" t="s">
        <v>28</v>
      </c>
      <c r="B13" s="13">
        <v>2</v>
      </c>
      <c r="C13" s="14" t="e">
        <f>IF(ANC_HBsAgTest_Share_Y2=100,ANC_Population*(1+Pop_Growth_Rate/100)/4,ANC_Population*(1+Pop_Growth_Rate/100)/4*(ANC_HBsAgTest_Share_Y2/100))</f>
        <v>#VALUE!</v>
      </c>
      <c r="D13" s="14">
        <f>HBV_Y2_Screening_Target</f>
        <v>0</v>
      </c>
      <c r="E13" s="14" t="e">
        <f t="shared" si="0"/>
        <v>#VALUE!</v>
      </c>
      <c r="F13" s="14">
        <f t="shared" si="1"/>
        <v>0</v>
      </c>
      <c r="G13" s="14" t="e">
        <f t="shared" si="3"/>
        <v>#VALUE!</v>
      </c>
      <c r="H13" s="14">
        <v>0</v>
      </c>
      <c r="I13" s="14" t="e">
        <f t="shared" si="2"/>
        <v>#VALUE!</v>
      </c>
      <c r="J13" s="14" t="e">
        <f t="shared" si="4"/>
        <v>#VALUE!</v>
      </c>
    </row>
    <row r="14" spans="1:10" x14ac:dyDescent="0.35">
      <c r="A14" s="13" t="s">
        <v>25</v>
      </c>
      <c r="B14" s="13">
        <v>3</v>
      </c>
      <c r="C14" s="14" t="e">
        <f>IF(ANC_HBsAgTest_Share_Y3=100,ANC_Population*(1+Pop_Growth_Rate/100)^2/4,ANC_Population*(1+Pop_Growth_Rate/100)^2/4*(ANC_HBsAgTest_Share_Y3/100))</f>
        <v>#VALUE!</v>
      </c>
      <c r="D14" s="14">
        <f>HBV_Y3_Screening_Target</f>
        <v>0</v>
      </c>
      <c r="E14" s="14" t="e">
        <f t="shared" si="0"/>
        <v>#VALUE!</v>
      </c>
      <c r="F14" s="14">
        <f t="shared" si="1"/>
        <v>0</v>
      </c>
      <c r="G14" s="14" t="e">
        <f>E14+F14</f>
        <v>#VALUE!</v>
      </c>
      <c r="H14" s="14" t="e">
        <f>(G14/3)*HBsAg_Buffer</f>
        <v>#VALUE!</v>
      </c>
      <c r="I14" s="14" t="e">
        <f t="shared" si="2"/>
        <v>#VALUE!</v>
      </c>
      <c r="J14" s="14" t="e">
        <f t="shared" si="4"/>
        <v>#VALUE!</v>
      </c>
    </row>
    <row r="15" spans="1:10" x14ac:dyDescent="0.35">
      <c r="A15" s="13" t="s">
        <v>26</v>
      </c>
      <c r="B15" s="13">
        <v>3</v>
      </c>
      <c r="C15" s="14" t="e">
        <f>IF(ANC_HBsAgTest_Share_Y3=100,ANC_Population*(1+Pop_Growth_Rate/100)^2/4,ANC_Population*(1+Pop_Growth_Rate/100)^2/4*(ANC_HBsAgTest_Share_Y3/100))</f>
        <v>#VALUE!</v>
      </c>
      <c r="D15" s="14">
        <f>HBV_Y3_Screening_Target</f>
        <v>0</v>
      </c>
      <c r="E15" s="14" t="e">
        <f t="shared" si="0"/>
        <v>#VALUE!</v>
      </c>
      <c r="F15" s="14">
        <f t="shared" si="1"/>
        <v>0</v>
      </c>
      <c r="G15" s="14" t="e">
        <f t="shared" si="3"/>
        <v>#VALUE!</v>
      </c>
      <c r="H15" s="14">
        <v>0</v>
      </c>
      <c r="I15" s="14" t="e">
        <f t="shared" si="2"/>
        <v>#VALUE!</v>
      </c>
      <c r="J15" s="14" t="e">
        <f t="shared" si="4"/>
        <v>#VALUE!</v>
      </c>
    </row>
    <row r="16" spans="1:10" x14ac:dyDescent="0.35">
      <c r="A16" s="13" t="s">
        <v>27</v>
      </c>
      <c r="B16" s="13">
        <v>3</v>
      </c>
      <c r="C16" s="14" t="e">
        <f>IF(ANC_HBsAgTest_Share_Y3=100,ANC_Population*(1+Pop_Growth_Rate/100)^2/4,ANC_Population*(1+Pop_Growth_Rate/100)^2/4*(ANC_HBsAgTest_Share_Y3/100))</f>
        <v>#VALUE!</v>
      </c>
      <c r="D16" s="14">
        <f>HBV_Y3_Screening_Target</f>
        <v>0</v>
      </c>
      <c r="E16" s="14" t="e">
        <f t="shared" si="0"/>
        <v>#VALUE!</v>
      </c>
      <c r="F16" s="14">
        <f t="shared" si="1"/>
        <v>0</v>
      </c>
      <c r="G16" s="14" t="e">
        <f t="shared" si="3"/>
        <v>#VALUE!</v>
      </c>
      <c r="H16" s="14">
        <v>0</v>
      </c>
      <c r="I16" s="14" t="e">
        <f t="shared" si="2"/>
        <v>#VALUE!</v>
      </c>
      <c r="J16" s="14" t="e">
        <f t="shared" si="4"/>
        <v>#VALUE!</v>
      </c>
    </row>
    <row r="17" spans="1:10" x14ac:dyDescent="0.35">
      <c r="A17" s="13" t="s">
        <v>28</v>
      </c>
      <c r="B17" s="13">
        <v>3</v>
      </c>
      <c r="C17" s="14" t="e">
        <f>IF(ANC_HBsAgTest_Share_Y3=100,ANC_Population*(1+Pop_Growth_Rate/100)^2/4,ANC_Population*(1+Pop_Growth_Rate/100)^2/4*(ANC_HBsAgTest_Share_Y3/100))</f>
        <v>#VALUE!</v>
      </c>
      <c r="D17" s="14">
        <f>HBV_Y3_Screening_Target</f>
        <v>0</v>
      </c>
      <c r="E17" s="14" t="e">
        <f t="shared" si="0"/>
        <v>#VALUE!</v>
      </c>
      <c r="F17" s="14">
        <f t="shared" si="1"/>
        <v>0</v>
      </c>
      <c r="G17" s="14" t="e">
        <f t="shared" si="3"/>
        <v>#VALUE!</v>
      </c>
      <c r="H17" s="14">
        <v>0</v>
      </c>
      <c r="I17" s="14" t="e">
        <f t="shared" si="2"/>
        <v>#VALUE!</v>
      </c>
      <c r="J17" s="14" t="e">
        <f t="shared" si="4"/>
        <v>#VALUE!</v>
      </c>
    </row>
    <row r="18" spans="1:10" x14ac:dyDescent="0.35">
      <c r="C18" s="48"/>
      <c r="D18" s="48"/>
      <c r="E18" s="48"/>
      <c r="F18" s="48"/>
      <c r="G18" s="48"/>
      <c r="H18" s="48"/>
      <c r="I18" s="48"/>
      <c r="J18" s="48"/>
    </row>
    <row r="19" spans="1:10" x14ac:dyDescent="0.35">
      <c r="A19" s="102" t="s">
        <v>29</v>
      </c>
      <c r="B19" s="102"/>
      <c r="C19" s="103"/>
      <c r="D19" s="103"/>
      <c r="E19" s="104" t="e">
        <f t="shared" ref="E19:F19" si="5">SUM(E6:E9)</f>
        <v>#VALUE!</v>
      </c>
      <c r="F19" s="104">
        <f t="shared" si="5"/>
        <v>0</v>
      </c>
      <c r="G19" s="103" t="e">
        <f>SUM(G6:G9)</f>
        <v>#VALUE!</v>
      </c>
      <c r="H19" s="103" t="e">
        <f t="shared" ref="H19:I19" si="6">SUM(H6:H9)</f>
        <v>#VALUE!</v>
      </c>
      <c r="I19" s="103" t="e">
        <f t="shared" si="6"/>
        <v>#VALUE!</v>
      </c>
      <c r="J19" s="103" t="e">
        <f>SUM(J6:J9)</f>
        <v>#VALUE!</v>
      </c>
    </row>
    <row r="20" spans="1:10" x14ac:dyDescent="0.35">
      <c r="A20" s="102" t="s">
        <v>30</v>
      </c>
      <c r="B20" s="102"/>
      <c r="C20" s="103"/>
      <c r="D20" s="103"/>
      <c r="E20" s="104" t="e">
        <f t="shared" ref="E20:J20" si="7">SUM(E10:E13)</f>
        <v>#VALUE!</v>
      </c>
      <c r="F20" s="104">
        <f t="shared" si="7"/>
        <v>0</v>
      </c>
      <c r="G20" s="103" t="e">
        <f t="shared" si="7"/>
        <v>#VALUE!</v>
      </c>
      <c r="H20" s="103" t="e">
        <f>SUM(H10:H13)</f>
        <v>#VALUE!</v>
      </c>
      <c r="I20" s="103" t="e">
        <f t="shared" si="7"/>
        <v>#VALUE!</v>
      </c>
      <c r="J20" s="103" t="e">
        <f t="shared" si="7"/>
        <v>#VALUE!</v>
      </c>
    </row>
    <row r="21" spans="1:10" x14ac:dyDescent="0.35">
      <c r="A21" s="102" t="s">
        <v>31</v>
      </c>
      <c r="B21" s="102"/>
      <c r="C21" s="103"/>
      <c r="D21" s="103"/>
      <c r="E21" s="104" t="e">
        <f t="shared" ref="E21:J21" si="8">SUM(E14:E17)</f>
        <v>#VALUE!</v>
      </c>
      <c r="F21" s="104">
        <f t="shared" si="8"/>
        <v>0</v>
      </c>
      <c r="G21" s="103" t="e">
        <f t="shared" si="8"/>
        <v>#VALUE!</v>
      </c>
      <c r="H21" s="103" t="e">
        <f t="shared" si="8"/>
        <v>#VALUE!</v>
      </c>
      <c r="I21" s="103" t="e">
        <f t="shared" si="8"/>
        <v>#VALUE!</v>
      </c>
      <c r="J21" s="103" t="e">
        <f t="shared" si="8"/>
        <v>#VALUE!</v>
      </c>
    </row>
    <row r="22" spans="1:10" x14ac:dyDescent="0.35">
      <c r="C22" s="48"/>
      <c r="D22" s="48"/>
      <c r="E22" s="48"/>
      <c r="F22" s="48"/>
      <c r="G22" s="48"/>
      <c r="H22" s="48"/>
      <c r="I22" s="48"/>
      <c r="J22" s="48"/>
    </row>
    <row r="23" spans="1:10" x14ac:dyDescent="0.35">
      <c r="A23" s="99" t="s">
        <v>32</v>
      </c>
      <c r="B23" s="99"/>
      <c r="C23" s="100"/>
      <c r="D23" s="100"/>
      <c r="E23" s="101"/>
      <c r="F23" s="101"/>
      <c r="G23" s="100" t="e">
        <f t="shared" ref="G23:I23" si="9">SUM(G19:G21)</f>
        <v>#VALUE!</v>
      </c>
      <c r="H23" s="100" t="e">
        <f t="shared" si="9"/>
        <v>#VALUE!</v>
      </c>
      <c r="I23" s="100" t="e">
        <f t="shared" si="9"/>
        <v>#VALUE!</v>
      </c>
      <c r="J23" s="100" t="e">
        <f>SUM(J19:J21)</f>
        <v>#VALUE!</v>
      </c>
    </row>
    <row r="25" spans="1:10" s="84" customFormat="1" ht="14.5" customHeight="1" x14ac:dyDescent="0.35">
      <c r="A25" s="83" t="s">
        <v>114</v>
      </c>
    </row>
    <row r="27" spans="1:10" ht="29" x14ac:dyDescent="0.35">
      <c r="A27" s="57" t="s">
        <v>19</v>
      </c>
      <c r="B27" s="57" t="s">
        <v>20</v>
      </c>
      <c r="C27" s="57" t="s">
        <v>129</v>
      </c>
      <c r="D27" s="57" t="s">
        <v>21</v>
      </c>
      <c r="E27" s="57" t="s">
        <v>65</v>
      </c>
      <c r="F27" s="57" t="s">
        <v>47</v>
      </c>
      <c r="G27" s="57" t="s">
        <v>57</v>
      </c>
      <c r="H27" s="57" t="s">
        <v>58</v>
      </c>
      <c r="I27" s="57" t="s">
        <v>59</v>
      </c>
      <c r="J27" s="57" t="s">
        <v>119</v>
      </c>
    </row>
    <row r="28" spans="1:10" x14ac:dyDescent="0.35">
      <c r="A28" s="13" t="s">
        <v>25</v>
      </c>
      <c r="B28" s="13">
        <v>1</v>
      </c>
      <c r="C28" s="14">
        <f>IF(Include_Other_HBV="",0,IF(Other_HBsAgTest_Share_Y1=100,HBV_Other_Population/4,HBV_Other_Population/4*(Other_HBsAgTest_Share_Y1/100)))</f>
        <v>0</v>
      </c>
      <c r="D28" s="14">
        <f>IF(Include_Other_HBV="",0,HBV_Other_Y1_Screening_Target)</f>
        <v>0</v>
      </c>
      <c r="E28" s="14">
        <f t="shared" ref="E28:E39" si="10">IF(Include_Other_HBV="",0,C28*(D28/100)*HBV_Other_Tests_Per_Person)</f>
        <v>0</v>
      </c>
      <c r="F28" s="14">
        <f t="shared" ref="F28:F39" si="11">IF(Include_Other_HBV="",0,IF(HBV_Other_Partners_Rate_Screening="",0,(C28*(D28/100)*(Other_HBV_Prevalence/100))*HBV_Other_Partners_Rate_Screening))</f>
        <v>0</v>
      </c>
      <c r="G28" s="14">
        <f>E28+F28</f>
        <v>0</v>
      </c>
      <c r="H28" s="14">
        <f>(G28/3)*IF(Other_HBsAg_Buffer="",HBsAg_Buffer,Other_HBsAg_Buffer)</f>
        <v>0</v>
      </c>
      <c r="I28" s="14">
        <f t="shared" ref="I28:I39" si="12">(G28+H28)*(HBsAg_Wastage_Rate/100)</f>
        <v>0</v>
      </c>
      <c r="J28" s="14">
        <f>G28+H28+I28</f>
        <v>0</v>
      </c>
    </row>
    <row r="29" spans="1:10" x14ac:dyDescent="0.35">
      <c r="A29" s="13" t="s">
        <v>26</v>
      </c>
      <c r="B29" s="13">
        <v>1</v>
      </c>
      <c r="C29" s="14">
        <f>IF(Include_Other_HBV="",0,IF(Other_HBsAgTest_Share_Y1=100,HBV_Other_Population/4,HBV_Other_Population/4*(Other_HBsAgTest_Share_Y1/100)))</f>
        <v>0</v>
      </c>
      <c r="D29" s="14">
        <f>IF(Include_Other_HBV="",0,HBV_Other_Y1_Screening_Target)</f>
        <v>0</v>
      </c>
      <c r="E29" s="14">
        <f t="shared" si="10"/>
        <v>0</v>
      </c>
      <c r="F29" s="14">
        <f t="shared" si="11"/>
        <v>0</v>
      </c>
      <c r="G29" s="14">
        <f t="shared" ref="G29:G39" si="13">E29+F29</f>
        <v>0</v>
      </c>
      <c r="H29" s="14">
        <v>0</v>
      </c>
      <c r="I29" s="14">
        <f t="shared" si="12"/>
        <v>0</v>
      </c>
      <c r="J29" s="14">
        <f t="shared" ref="J29:J39" si="14">G29+H29+I29</f>
        <v>0</v>
      </c>
    </row>
    <row r="30" spans="1:10" x14ac:dyDescent="0.35">
      <c r="A30" s="13" t="s">
        <v>27</v>
      </c>
      <c r="B30" s="13">
        <v>1</v>
      </c>
      <c r="C30" s="14">
        <f>IF(Include_Other_HBV="",0,IF(Other_HBsAgTest_Share_Y1=100,HBV_Other_Population/4,HBV_Other_Population/4*(Other_HBsAgTest_Share_Y1/100)))</f>
        <v>0</v>
      </c>
      <c r="D30" s="14">
        <f>IF(Include_Other_HBV="",0,HBV_Other_Y1_Screening_Target)</f>
        <v>0</v>
      </c>
      <c r="E30" s="14">
        <f t="shared" si="10"/>
        <v>0</v>
      </c>
      <c r="F30" s="14">
        <f t="shared" si="11"/>
        <v>0</v>
      </c>
      <c r="G30" s="14">
        <f t="shared" si="13"/>
        <v>0</v>
      </c>
      <c r="H30" s="14">
        <v>0</v>
      </c>
      <c r="I30" s="14">
        <f t="shared" si="12"/>
        <v>0</v>
      </c>
      <c r="J30" s="14">
        <f t="shared" si="14"/>
        <v>0</v>
      </c>
    </row>
    <row r="31" spans="1:10" x14ac:dyDescent="0.35">
      <c r="A31" s="13" t="s">
        <v>28</v>
      </c>
      <c r="B31" s="13">
        <v>1</v>
      </c>
      <c r="C31" s="14">
        <f>IF(Include_Other_HBV="",0,IF(Other_HBsAgTest_Share_Y1=100,HBV_Other_Population/4,HBV_Other_Population/4*(Other_HBsAgTest_Share_Y1/100)))</f>
        <v>0</v>
      </c>
      <c r="D31" s="14">
        <f>IF(Include_Other_HBV="",0,HBV_Other_Y1_Screening_Target)</f>
        <v>0</v>
      </c>
      <c r="E31" s="14">
        <f t="shared" si="10"/>
        <v>0</v>
      </c>
      <c r="F31" s="14">
        <f t="shared" si="11"/>
        <v>0</v>
      </c>
      <c r="G31" s="14">
        <f t="shared" si="13"/>
        <v>0</v>
      </c>
      <c r="H31" s="14">
        <v>0</v>
      </c>
      <c r="I31" s="14">
        <f t="shared" si="12"/>
        <v>0</v>
      </c>
      <c r="J31" s="14">
        <f t="shared" si="14"/>
        <v>0</v>
      </c>
    </row>
    <row r="32" spans="1:10" x14ac:dyDescent="0.35">
      <c r="A32" s="13" t="s">
        <v>25</v>
      </c>
      <c r="B32" s="13">
        <v>2</v>
      </c>
      <c r="C32" s="14">
        <f>IF(Include_Other_HBV="",0,IF(Other_HBsAgTest_Share_Y2=100,HBV_Other_Population/4,HBV_Other_Population/4*(Other_HBsAgTest_Share_Y2/100)))</f>
        <v>0</v>
      </c>
      <c r="D32" s="14">
        <f>IF(Include_Other_HBV="",0,HBV_Other_Y2_Screening_Target)</f>
        <v>0</v>
      </c>
      <c r="E32" s="14">
        <f t="shared" si="10"/>
        <v>0</v>
      </c>
      <c r="F32" s="14">
        <f t="shared" si="11"/>
        <v>0</v>
      </c>
      <c r="G32" s="14">
        <f t="shared" si="13"/>
        <v>0</v>
      </c>
      <c r="H32" s="14">
        <f>(G32/3)*IF(Other_HBsAg_Buffer="",HBsAg_Buffer,Other_HBsAg_Buffer)</f>
        <v>0</v>
      </c>
      <c r="I32" s="14">
        <f t="shared" si="12"/>
        <v>0</v>
      </c>
      <c r="J32" s="14">
        <f t="shared" si="14"/>
        <v>0</v>
      </c>
    </row>
    <row r="33" spans="1:10" x14ac:dyDescent="0.35">
      <c r="A33" s="13" t="s">
        <v>26</v>
      </c>
      <c r="B33" s="13">
        <v>2</v>
      </c>
      <c r="C33" s="14">
        <f>IF(Include_Other_HBV="",0,IF(Other_HBsAgTest_Share_Y2=100,HBV_Other_Population/4,HBV_Other_Population/4*(Other_HBsAgTest_Share_Y2/100)))</f>
        <v>0</v>
      </c>
      <c r="D33" s="14">
        <f>IF(Include_Other_HBV="",0,HBV_Other_Y2_Screening_Target)</f>
        <v>0</v>
      </c>
      <c r="E33" s="14">
        <f>IF(Include_Other_HBV="",0,C33*(D33/100)*HBV_Other_Tests_Per_Person)</f>
        <v>0</v>
      </c>
      <c r="F33" s="14">
        <f t="shared" si="11"/>
        <v>0</v>
      </c>
      <c r="G33" s="14">
        <f t="shared" si="13"/>
        <v>0</v>
      </c>
      <c r="H33" s="14">
        <v>0</v>
      </c>
      <c r="I33" s="14">
        <f t="shared" si="12"/>
        <v>0</v>
      </c>
      <c r="J33" s="14">
        <f t="shared" si="14"/>
        <v>0</v>
      </c>
    </row>
    <row r="34" spans="1:10" x14ac:dyDescent="0.35">
      <c r="A34" s="13" t="s">
        <v>27</v>
      </c>
      <c r="B34" s="13">
        <v>2</v>
      </c>
      <c r="C34" s="14">
        <f>IF(Include_Other_HBV="",0,IF(Other_HBsAgTest_Share_Y2=100,HBV_Other_Population/4,HBV_Other_Population/4*(Other_HBsAgTest_Share_Y2/100)))</f>
        <v>0</v>
      </c>
      <c r="D34" s="14">
        <f>IF(Include_Other_HBV="",0,HBV_Other_Y2_Screening_Target)</f>
        <v>0</v>
      </c>
      <c r="E34" s="14">
        <f>IF(Include_Other_HBV="",0,C34*(D34/100)*HBV_Other_Tests_Per_Person)</f>
        <v>0</v>
      </c>
      <c r="F34" s="14">
        <f t="shared" si="11"/>
        <v>0</v>
      </c>
      <c r="G34" s="14">
        <f t="shared" si="13"/>
        <v>0</v>
      </c>
      <c r="H34" s="14">
        <v>0</v>
      </c>
      <c r="I34" s="14">
        <f t="shared" si="12"/>
        <v>0</v>
      </c>
      <c r="J34" s="14">
        <f t="shared" si="14"/>
        <v>0</v>
      </c>
    </row>
    <row r="35" spans="1:10" x14ac:dyDescent="0.35">
      <c r="A35" s="13" t="s">
        <v>28</v>
      </c>
      <c r="B35" s="13">
        <v>2</v>
      </c>
      <c r="C35" s="14">
        <f>IF(Include_Other_HBV="",0,IF(Other_HBsAgTest_Share_Y2=100,HBV_Other_Population/4,HBV_Other_Population/4*(Other_HBsAgTest_Share_Y2/100)))</f>
        <v>0</v>
      </c>
      <c r="D35" s="14">
        <f>IF(Include_Other_HBV="",0,HBV_Other_Y2_Screening_Target)</f>
        <v>0</v>
      </c>
      <c r="E35" s="14">
        <f t="shared" si="10"/>
        <v>0</v>
      </c>
      <c r="F35" s="14">
        <f t="shared" si="11"/>
        <v>0</v>
      </c>
      <c r="G35" s="14">
        <f t="shared" si="13"/>
        <v>0</v>
      </c>
      <c r="H35" s="14">
        <v>0</v>
      </c>
      <c r="I35" s="14">
        <f t="shared" si="12"/>
        <v>0</v>
      </c>
      <c r="J35" s="14">
        <f t="shared" si="14"/>
        <v>0</v>
      </c>
    </row>
    <row r="36" spans="1:10" x14ac:dyDescent="0.35">
      <c r="A36" s="13" t="s">
        <v>25</v>
      </c>
      <c r="B36" s="13">
        <v>3</v>
      </c>
      <c r="C36" s="14">
        <f>IF(Include_Other_HBV="",0,IF(Other_HBsAgTest_Share_Y3=100,HBV_Other_Population/4,HBV_Other_Population/4*(Other_HBsAgTest_Share_Y3/100)))</f>
        <v>0</v>
      </c>
      <c r="D36" s="14">
        <f>IF(Include_Other_HBV="",0,HBV_Other_Y3_Screening_Target)</f>
        <v>0</v>
      </c>
      <c r="E36" s="14">
        <f>IF(Include_Other_HBV="",0,C36*(D36/100)*HBV_Other_Tests_Per_Person)</f>
        <v>0</v>
      </c>
      <c r="F36" s="14">
        <f t="shared" si="11"/>
        <v>0</v>
      </c>
      <c r="G36" s="14">
        <f t="shared" si="13"/>
        <v>0</v>
      </c>
      <c r="H36" s="14">
        <f>(G36/3)*IF(Other_HBsAg_Buffer="",HBsAg_Buffer,Other_HBsAg_Buffer)</f>
        <v>0</v>
      </c>
      <c r="I36" s="14">
        <f t="shared" si="12"/>
        <v>0</v>
      </c>
      <c r="J36" s="14">
        <f t="shared" si="14"/>
        <v>0</v>
      </c>
    </row>
    <row r="37" spans="1:10" x14ac:dyDescent="0.35">
      <c r="A37" s="13" t="s">
        <v>26</v>
      </c>
      <c r="B37" s="13">
        <v>3</v>
      </c>
      <c r="C37" s="14">
        <f>IF(Include_Other_HBV="",0,IF(Other_HBsAgTest_Share_Y3=100,HBV_Other_Population/4,HBV_Other_Population/4*(Other_HBsAgTest_Share_Y3/100)))</f>
        <v>0</v>
      </c>
      <c r="D37" s="14">
        <f>IF(Include_Other_HBV="",0,HBV_Other_Y3_Screening_Target)</f>
        <v>0</v>
      </c>
      <c r="E37" s="14">
        <f t="shared" si="10"/>
        <v>0</v>
      </c>
      <c r="F37" s="14">
        <f t="shared" si="11"/>
        <v>0</v>
      </c>
      <c r="G37" s="14">
        <f t="shared" si="13"/>
        <v>0</v>
      </c>
      <c r="H37" s="14">
        <v>0</v>
      </c>
      <c r="I37" s="14">
        <f t="shared" si="12"/>
        <v>0</v>
      </c>
      <c r="J37" s="14">
        <f t="shared" si="14"/>
        <v>0</v>
      </c>
    </row>
    <row r="38" spans="1:10" x14ac:dyDescent="0.35">
      <c r="A38" s="13" t="s">
        <v>27</v>
      </c>
      <c r="B38" s="13">
        <v>3</v>
      </c>
      <c r="C38" s="14">
        <f>IF(Include_Other_HBV="",0,IF(Other_HBsAgTest_Share_Y3=100,HBV_Other_Population/4,HBV_Other_Population/4*(Other_HBsAgTest_Share_Y3/100)))</f>
        <v>0</v>
      </c>
      <c r="D38" s="14">
        <f>IF(Include_Other_HBV="",0,HBV_Other_Y3_Screening_Target)</f>
        <v>0</v>
      </c>
      <c r="E38" s="14">
        <f t="shared" si="10"/>
        <v>0</v>
      </c>
      <c r="F38" s="14">
        <f t="shared" si="11"/>
        <v>0</v>
      </c>
      <c r="G38" s="14">
        <f t="shared" si="13"/>
        <v>0</v>
      </c>
      <c r="H38" s="14">
        <v>0</v>
      </c>
      <c r="I38" s="14">
        <f t="shared" si="12"/>
        <v>0</v>
      </c>
      <c r="J38" s="14">
        <f t="shared" si="14"/>
        <v>0</v>
      </c>
    </row>
    <row r="39" spans="1:10" x14ac:dyDescent="0.35">
      <c r="A39" s="13" t="s">
        <v>28</v>
      </c>
      <c r="B39" s="13">
        <v>3</v>
      </c>
      <c r="C39" s="14">
        <f>IF(Include_Other_HBV="",0,IF(Other_HBsAgTest_Share_Y3=100,HBV_Other_Population/4,HBV_Other_Population/4*(Other_HBsAgTest_Share_Y3/100)))</f>
        <v>0</v>
      </c>
      <c r="D39" s="14">
        <f>IF(Include_Other_HBV="",0,HBV_Other_Y3_Screening_Target)</f>
        <v>0</v>
      </c>
      <c r="E39" s="14">
        <f t="shared" si="10"/>
        <v>0</v>
      </c>
      <c r="F39" s="14">
        <f t="shared" si="11"/>
        <v>0</v>
      </c>
      <c r="G39" s="14">
        <f t="shared" si="13"/>
        <v>0</v>
      </c>
      <c r="H39" s="14">
        <v>0</v>
      </c>
      <c r="I39" s="14">
        <f t="shared" si="12"/>
        <v>0</v>
      </c>
      <c r="J39" s="14">
        <f t="shared" si="14"/>
        <v>0</v>
      </c>
    </row>
    <row r="40" spans="1:10" x14ac:dyDescent="0.35">
      <c r="C40" s="48"/>
      <c r="D40" s="48"/>
      <c r="E40" s="48"/>
      <c r="F40" s="48"/>
      <c r="G40" s="48"/>
      <c r="H40" s="48"/>
      <c r="I40" s="48"/>
      <c r="J40" s="48"/>
    </row>
    <row r="41" spans="1:10" x14ac:dyDescent="0.35">
      <c r="A41" s="102" t="s">
        <v>29</v>
      </c>
      <c r="B41" s="102"/>
      <c r="C41" s="103"/>
      <c r="D41" s="103"/>
      <c r="E41" s="104">
        <f t="shared" ref="E41:F41" si="15">SUM(E28:E31)</f>
        <v>0</v>
      </c>
      <c r="F41" s="104">
        <f t="shared" si="15"/>
        <v>0</v>
      </c>
      <c r="G41" s="103">
        <f>SUM(G28:G31)</f>
        <v>0</v>
      </c>
      <c r="H41" s="103">
        <f t="shared" ref="H41:I41" si="16">SUM(H28:H31)</f>
        <v>0</v>
      </c>
      <c r="I41" s="103">
        <f t="shared" si="16"/>
        <v>0</v>
      </c>
      <c r="J41" s="103">
        <f>SUM(J28:J31)</f>
        <v>0</v>
      </c>
    </row>
    <row r="42" spans="1:10" x14ac:dyDescent="0.35">
      <c r="A42" s="102" t="s">
        <v>30</v>
      </c>
      <c r="B42" s="102"/>
      <c r="C42" s="103"/>
      <c r="D42" s="103"/>
      <c r="E42" s="104">
        <f t="shared" ref="E42:G42" si="17">SUM(E32:E35)</f>
        <v>0</v>
      </c>
      <c r="F42" s="104">
        <f t="shared" si="17"/>
        <v>0</v>
      </c>
      <c r="G42" s="103">
        <f t="shared" si="17"/>
        <v>0</v>
      </c>
      <c r="H42" s="103">
        <f>SUM(H32:H35)</f>
        <v>0</v>
      </c>
      <c r="I42" s="103">
        <f t="shared" ref="I42:J42" si="18">SUM(I32:I35)</f>
        <v>0</v>
      </c>
      <c r="J42" s="103">
        <f t="shared" si="18"/>
        <v>0</v>
      </c>
    </row>
    <row r="43" spans="1:10" x14ac:dyDescent="0.35">
      <c r="A43" s="102" t="s">
        <v>31</v>
      </c>
      <c r="B43" s="102"/>
      <c r="C43" s="103"/>
      <c r="D43" s="103"/>
      <c r="E43" s="104">
        <f t="shared" ref="E43:J43" si="19">SUM(E36:E39)</f>
        <v>0</v>
      </c>
      <c r="F43" s="104">
        <f t="shared" si="19"/>
        <v>0</v>
      </c>
      <c r="G43" s="103">
        <f t="shared" si="19"/>
        <v>0</v>
      </c>
      <c r="H43" s="103">
        <f t="shared" si="19"/>
        <v>0</v>
      </c>
      <c r="I43" s="103">
        <f t="shared" si="19"/>
        <v>0</v>
      </c>
      <c r="J43" s="103">
        <f t="shared" si="19"/>
        <v>0</v>
      </c>
    </row>
    <row r="44" spans="1:10" x14ac:dyDescent="0.35">
      <c r="C44" s="48"/>
      <c r="D44" s="48"/>
      <c r="E44" s="48"/>
      <c r="F44" s="48"/>
      <c r="G44" s="48"/>
      <c r="H44" s="48"/>
      <c r="I44" s="48"/>
      <c r="J44" s="48"/>
    </row>
    <row r="45" spans="1:10" x14ac:dyDescent="0.35">
      <c r="A45" s="99" t="s">
        <v>32</v>
      </c>
      <c r="B45" s="99"/>
      <c r="C45" s="100"/>
      <c r="D45" s="100"/>
      <c r="E45" s="101"/>
      <c r="F45" s="101"/>
      <c r="G45" s="100">
        <f t="shared" ref="G45:I45" si="20">SUM(G41:G43)</f>
        <v>0</v>
      </c>
      <c r="H45" s="100">
        <f t="shared" si="20"/>
        <v>0</v>
      </c>
      <c r="I45" s="100">
        <f t="shared" si="20"/>
        <v>0</v>
      </c>
      <c r="J45" s="100">
        <f>SUM(J41:J43)</f>
        <v>0</v>
      </c>
    </row>
  </sheetData>
  <sheetProtection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9AB3FD6A80204884CB7AAEDE1F4C1B" ma:contentTypeVersion="4" ma:contentTypeDescription="Create a new document." ma:contentTypeScope="" ma:versionID="6a306f62af79f4e3157884451a19bf7b">
  <xsd:schema xmlns:xsd="http://www.w3.org/2001/XMLSchema" xmlns:xs="http://www.w3.org/2001/XMLSchema" xmlns:p="http://schemas.microsoft.com/office/2006/metadata/properties" xmlns:ns3="08266764-8955-43dd-8345-ceaa1508d44f" targetNamespace="http://schemas.microsoft.com/office/2006/metadata/properties" ma:root="true" ma:fieldsID="421cb53bd8931bc9a9697d2d7d7b775f" ns3:_="">
    <xsd:import namespace="08266764-8955-43dd-8345-ceaa1508d44f"/>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266764-8955-43dd-8345-ceaa1508d44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10E256-1EFA-44A4-ADD6-7FE19098003F}">
  <ds:schemaRefs>
    <ds:schemaRef ds:uri="http://schemas.microsoft.com/sharepoint/v3/contenttype/forms"/>
  </ds:schemaRefs>
</ds:datastoreItem>
</file>

<file path=customXml/itemProps2.xml><?xml version="1.0" encoding="utf-8"?>
<ds:datastoreItem xmlns:ds="http://schemas.openxmlformats.org/officeDocument/2006/customXml" ds:itemID="{EECA0128-994D-4146-B9E5-CCA4C69FEE31}">
  <ds:schemaRefs>
    <ds:schemaRef ds:uri="http://purl.org/dc/elements/1.1/"/>
    <ds:schemaRef ds:uri="http://schemas.microsoft.com/office/2006/metadata/properties"/>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08266764-8955-43dd-8345-ceaa1508d44f"/>
    <ds:schemaRef ds:uri="http://schemas.openxmlformats.org/package/2006/metadata/core-properties"/>
  </ds:schemaRefs>
</ds:datastoreItem>
</file>

<file path=customXml/itemProps3.xml><?xml version="1.0" encoding="utf-8"?>
<ds:datastoreItem xmlns:ds="http://schemas.openxmlformats.org/officeDocument/2006/customXml" ds:itemID="{31BF3472-9322-4EE8-A922-E39943AAC2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266764-8955-43dd-8345-ceaa1508d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263</vt:i4>
      </vt:variant>
    </vt:vector>
  </HeadingPairs>
  <TitlesOfParts>
    <vt:vector size="276" baseType="lpstr">
      <vt:lpstr>(Commencer ici) Instructions</vt:lpstr>
      <vt:lpstr>Configuration + Données d'entré</vt:lpstr>
      <vt:lpstr>Résumé</vt:lpstr>
      <vt:lpstr>Quantification</vt:lpstr>
      <vt:lpstr>Budget Breakdown</vt:lpstr>
      <vt:lpstr>Country_Database</vt:lpstr>
      <vt:lpstr>Calc_PW</vt:lpstr>
      <vt:lpstr>Calc_DualTests</vt:lpstr>
      <vt:lpstr>Calc_HBsAgTests</vt:lpstr>
      <vt:lpstr>Calc_TripleTests</vt:lpstr>
      <vt:lpstr>Calc_BPG</vt:lpstr>
      <vt:lpstr>Calc_TDF</vt:lpstr>
      <vt:lpstr>Calc_Budget</vt:lpstr>
      <vt:lpstr>ANC_DualTest_Share_Y1</vt:lpstr>
      <vt:lpstr>ANC_DualTest_Share_Y2</vt:lpstr>
      <vt:lpstr>ANC_DualTest_Share_Y3</vt:lpstr>
      <vt:lpstr>ANC_HBsAgTest_Share_Y1</vt:lpstr>
      <vt:lpstr>ANC_HBsAgTest_Share_Y2</vt:lpstr>
      <vt:lpstr>ANC_HBsAgTest_Share_Y3</vt:lpstr>
      <vt:lpstr>ANC_Population</vt:lpstr>
      <vt:lpstr>ANC_TripleTest_Share_Y1</vt:lpstr>
      <vt:lpstr>ANC_TripleTest_Share_Y2</vt:lpstr>
      <vt:lpstr>ANC_TripleTest_Share_Y3</vt:lpstr>
      <vt:lpstr>Baseline_Screening_Coverage</vt:lpstr>
      <vt:lpstr>Baseline_Treatment_Coverage</vt:lpstr>
      <vt:lpstr>BPG_Buffer</vt:lpstr>
      <vt:lpstr>BPG_Freq</vt:lpstr>
      <vt:lpstr>BPG_LandedCost</vt:lpstr>
      <vt:lpstr>BPG_LandedCostPerPack</vt:lpstr>
      <vt:lpstr>BPG_PackSize</vt:lpstr>
      <vt:lpstr>BPG_Total_Budget</vt:lpstr>
      <vt:lpstr>BPG_UnitCost</vt:lpstr>
      <vt:lpstr>Country_Data</vt:lpstr>
      <vt:lpstr>Country_List</vt:lpstr>
      <vt:lpstr>Country_Name</vt:lpstr>
      <vt:lpstr>Currency</vt:lpstr>
      <vt:lpstr>Customs_Pct</vt:lpstr>
      <vt:lpstr>Distribution_Pct</vt:lpstr>
      <vt:lpstr>DualTest_Buffer</vt:lpstr>
      <vt:lpstr>DualTest_Freq</vt:lpstr>
      <vt:lpstr>DualTest_LandedCost</vt:lpstr>
      <vt:lpstr>DualTest_LandedCostPerPack</vt:lpstr>
      <vt:lpstr>DualTest_PackSize</vt:lpstr>
      <vt:lpstr>DualTest_Total_Budget</vt:lpstr>
      <vt:lpstr>DualTest_UnitCost</vt:lpstr>
      <vt:lpstr>Eff_BPG_CS_Reduction</vt:lpstr>
      <vt:lpstr>Eff_BPG_Neonatal_Reduction</vt:lpstr>
      <vt:lpstr>Eff_BPG_Preterm_Reduction</vt:lpstr>
      <vt:lpstr>Eff_BPG_Stillbirth_Reduction</vt:lpstr>
      <vt:lpstr>Eff_CS_Rate</vt:lpstr>
      <vt:lpstr>Eff_DW_Adult_Early</vt:lpstr>
      <vt:lpstr>Eff_DW_Adult_Tertiary</vt:lpstr>
      <vt:lpstr>Eff_DW_CS</vt:lpstr>
      <vt:lpstr>Eff_Life_Expectancy</vt:lpstr>
      <vt:lpstr>Eff_Neonatal_Rate</vt:lpstr>
      <vt:lpstr>Eff_Preterm_Rate</vt:lpstr>
      <vt:lpstr>Eff_Stillbirth_Rate</vt:lpstr>
      <vt:lpstr>Effective_Other_BPG_Freq</vt:lpstr>
      <vt:lpstr>Effective_Other_DualTest_Freq</vt:lpstr>
      <vt:lpstr>Effective_Other_HBsAg_Freq</vt:lpstr>
      <vt:lpstr>Effective_Other_TDF_Freq</vt:lpstr>
      <vt:lpstr>Effective_Other_TripleTest_Freq</vt:lpstr>
      <vt:lpstr>Freight_Pct</vt:lpstr>
      <vt:lpstr>Funding_BPG_ANC_Total_3Y</vt:lpstr>
      <vt:lpstr>Funding_BPG_GF_3Y</vt:lpstr>
      <vt:lpstr>Funding_BPG_Govt_3Y</vt:lpstr>
      <vt:lpstr>Funding_BPG_Other_Total_3Y</vt:lpstr>
      <vt:lpstr>Funding_DualTest_GF_3Y</vt:lpstr>
      <vt:lpstr>Funding_DualTest_Govt_3Y</vt:lpstr>
      <vt:lpstr>Funding_DualTest_Total_3Y</vt:lpstr>
      <vt:lpstr>Funding_TripleTest_GF_3Y</vt:lpstr>
      <vt:lpstr>Funding_TripleTest_Govt_3Y</vt:lpstr>
      <vt:lpstr>Funding_TripleTest_Total_3Y</vt:lpstr>
      <vt:lpstr>GF_Gap_Scenario1</vt:lpstr>
      <vt:lpstr>GF_Gap_Scenario2</vt:lpstr>
      <vt:lpstr>GF_Gap_Scenario3</vt:lpstr>
      <vt:lpstr>GovtContribution_Scenario1</vt:lpstr>
      <vt:lpstr>GovtContribution_Scenario2</vt:lpstr>
      <vt:lpstr>GovtContribution_Scenario3</vt:lpstr>
      <vt:lpstr>GovtFinancing_Scenario1</vt:lpstr>
      <vt:lpstr>GovtFinancing_Scenario2</vt:lpstr>
      <vt:lpstr>GovtFinancing_Scenario3</vt:lpstr>
      <vt:lpstr>HBsAg_Buffer</vt:lpstr>
      <vt:lpstr>HBsAg_Freq</vt:lpstr>
      <vt:lpstr>HBsAg_LandedCost</vt:lpstr>
      <vt:lpstr>HBsAg_LandedCostPerPack</vt:lpstr>
      <vt:lpstr>HBsAg_PackSize</vt:lpstr>
      <vt:lpstr>HBsAg_Total_Budget</vt:lpstr>
      <vt:lpstr>HBsAg_UnitCost</vt:lpstr>
      <vt:lpstr>HBsAg_Wastage_Rate</vt:lpstr>
      <vt:lpstr>HBV_Baseline_Screening_Coverage</vt:lpstr>
      <vt:lpstr>HBV_Baseline_Treatment_Coverage</vt:lpstr>
      <vt:lpstr>HBV_Other_Baseline_Screening</vt:lpstr>
      <vt:lpstr>HBV_Other_Baseline_Treatment</vt:lpstr>
      <vt:lpstr>HBV_Other_Partners_Rate_Screening</vt:lpstr>
      <vt:lpstr>HBV_Other_Partners_Rate_Treatment</vt:lpstr>
      <vt:lpstr>HBV_Other_Population</vt:lpstr>
      <vt:lpstr>HBV_Other_Tests_Per_Person</vt:lpstr>
      <vt:lpstr>HBV_Other_Y1_Screening_Target</vt:lpstr>
      <vt:lpstr>HBV_Other_Y1_Treatment_Target</vt:lpstr>
      <vt:lpstr>HBV_Other_Y2_Screening_Target</vt:lpstr>
      <vt:lpstr>HBV_Other_Y2_Treatment_Target</vt:lpstr>
      <vt:lpstr>HBV_Other_Y3_Screening_Target</vt:lpstr>
      <vt:lpstr>HBV_Other_Y3_Treatment_Target</vt:lpstr>
      <vt:lpstr>HBV_Partners_Tested_Rate</vt:lpstr>
      <vt:lpstr>HBV_Partners_Treated_Rate</vt:lpstr>
      <vt:lpstr>HBV_Prevalence</vt:lpstr>
      <vt:lpstr>HBV_Tests_Per_Pregnancy</vt:lpstr>
      <vt:lpstr>HBV_Y1_Screening_Target</vt:lpstr>
      <vt:lpstr>HBV_Y1_Treatment_Target</vt:lpstr>
      <vt:lpstr>HBV_Y2_Screening_Target</vt:lpstr>
      <vt:lpstr>HBV_Y2_Treatment_Target</vt:lpstr>
      <vt:lpstr>HBV_Y3_Screening_Target</vt:lpstr>
      <vt:lpstr>HBV_Y3_Treatment_Target</vt:lpstr>
      <vt:lpstr>Include_Other</vt:lpstr>
      <vt:lpstr>Include_Other_HBV</vt:lpstr>
      <vt:lpstr>Insurance_Pct</vt:lpstr>
      <vt:lpstr>LandedCost_Method</vt:lpstr>
      <vt:lpstr>Manual_Country_Name</vt:lpstr>
      <vt:lpstr>Other_Baseline_Screening</vt:lpstr>
      <vt:lpstr>Other_Baseline_Treatment</vt:lpstr>
      <vt:lpstr>Other_BPG_Buffer</vt:lpstr>
      <vt:lpstr>Other_BPG_Freq</vt:lpstr>
      <vt:lpstr>Other_DualTest_Buffer</vt:lpstr>
      <vt:lpstr>Other_DualTest_Freq</vt:lpstr>
      <vt:lpstr>Other_DualTest_Share_Y1</vt:lpstr>
      <vt:lpstr>Other_DualTest_Share_Y2</vt:lpstr>
      <vt:lpstr>Other_DualTest_Share_Y3</vt:lpstr>
      <vt:lpstr>Other_HBsAg_Buffer</vt:lpstr>
      <vt:lpstr>Other_HBsAg_Freq</vt:lpstr>
      <vt:lpstr>Other_HBsAgTest_Share_Y1</vt:lpstr>
      <vt:lpstr>Other_HBsAgTest_Share_Y2</vt:lpstr>
      <vt:lpstr>Other_HBsAgTest_Share_Y3</vt:lpstr>
      <vt:lpstr>Other_HBV_Prevalence</vt:lpstr>
      <vt:lpstr>Other_Partners_Rate_Screening</vt:lpstr>
      <vt:lpstr>Other_Partners_Rate_Treatment</vt:lpstr>
      <vt:lpstr>Other_Population</vt:lpstr>
      <vt:lpstr>Other_Syphilis_Prevalence</vt:lpstr>
      <vt:lpstr>Other_TDF_Buffer</vt:lpstr>
      <vt:lpstr>Other_TDF_Freq</vt:lpstr>
      <vt:lpstr>Other_TDF_Supply_PerPerson</vt:lpstr>
      <vt:lpstr>Other_Tests_Per_Person</vt:lpstr>
      <vt:lpstr>Other_TripleTest_Buffer</vt:lpstr>
      <vt:lpstr>Other_TripleTest_Freq</vt:lpstr>
      <vt:lpstr>Other_Y1_Screening_Target</vt:lpstr>
      <vt:lpstr>Other_Y1_TDF_Total</vt:lpstr>
      <vt:lpstr>Other_Y1_Treatment_Target</vt:lpstr>
      <vt:lpstr>Other_Y2_Screening_Target</vt:lpstr>
      <vt:lpstr>Other_Y2_TDF_Total</vt:lpstr>
      <vt:lpstr>Other_Y2_Treatment_Target</vt:lpstr>
      <vt:lpstr>Other_Y3_Screening_Target</vt:lpstr>
      <vt:lpstr>Other_Y3_TDF_Total</vt:lpstr>
      <vt:lpstr>Other_Y3_Treatment_Target</vt:lpstr>
      <vt:lpstr>Partners_Tested_Rate</vt:lpstr>
      <vt:lpstr>Partners_Treated_Rate</vt:lpstr>
      <vt:lpstr>Pop_Growth_Rate</vt:lpstr>
      <vt:lpstr>PopGrowthRate</vt:lpstr>
      <vt:lpstr>'Budget Breakdown'!Print_Area</vt:lpstr>
      <vt:lpstr>Quantification!Print_Area</vt:lpstr>
      <vt:lpstr>Résumé!Print_Area</vt:lpstr>
      <vt:lpstr>QA_Pct</vt:lpstr>
      <vt:lpstr>Simple_Multiplier</vt:lpstr>
      <vt:lpstr>Syphilis_Prevalence</vt:lpstr>
      <vt:lpstr>TDF_Buffer</vt:lpstr>
      <vt:lpstr>TDF_Freq</vt:lpstr>
      <vt:lpstr>TDF_LandedCost</vt:lpstr>
      <vt:lpstr>TDF_LandedCostPerPack</vt:lpstr>
      <vt:lpstr>TDF_PackSize</vt:lpstr>
      <vt:lpstr>TDF_Supply_PerPW</vt:lpstr>
      <vt:lpstr>TDF_Total_Budget</vt:lpstr>
      <vt:lpstr>TDF_UnitCost</vt:lpstr>
      <vt:lpstr>Tests_Per_Pregnancy</vt:lpstr>
      <vt:lpstr>ThreeYear_BPG_Packs</vt:lpstr>
      <vt:lpstr>ThreeYear_BPG_Total</vt:lpstr>
      <vt:lpstr>ThreeYear_DualTest_Packs</vt:lpstr>
      <vt:lpstr>ThreeYear_DualTests_Total</vt:lpstr>
      <vt:lpstr>ThreeYear_HBsAg_Packs</vt:lpstr>
      <vt:lpstr>ThreeYear_HBsAgTests_Total</vt:lpstr>
      <vt:lpstr>ThreeYear_Other_BPG_Packs</vt:lpstr>
      <vt:lpstr>ThreeYear_Other_BPG_Total</vt:lpstr>
      <vt:lpstr>ThreeYear_Other_DualTest_Packs</vt:lpstr>
      <vt:lpstr>ThreeYear_Other_DualTests_Total</vt:lpstr>
      <vt:lpstr>ThreeYear_Other_HBsAg_Packs</vt:lpstr>
      <vt:lpstr>ThreeYear_Other_HBsAgTests_Total</vt:lpstr>
      <vt:lpstr>ThreeYear_Other_TDF_Packs</vt:lpstr>
      <vt:lpstr>ThreeYear_Other_TDF_Total</vt:lpstr>
      <vt:lpstr>ThreeYear_Other_TripleTest_Packs</vt:lpstr>
      <vt:lpstr>ThreeYear_Other_TripleTests_Total</vt:lpstr>
      <vt:lpstr>ThreeYear_TDF_Packs</vt:lpstr>
      <vt:lpstr>ThreeYear_TDF_Total</vt:lpstr>
      <vt:lpstr>ThreeYear_TripleTest_Packs</vt:lpstr>
      <vt:lpstr>ThreeYear_TripleTests_Total</vt:lpstr>
      <vt:lpstr>Total_Budget</vt:lpstr>
      <vt:lpstr>TripleTest_Buffer</vt:lpstr>
      <vt:lpstr>TripleTest_Freq</vt:lpstr>
      <vt:lpstr>TripleTest_LandedCost</vt:lpstr>
      <vt:lpstr>TripleTest_LandedCostPerPack</vt:lpstr>
      <vt:lpstr>TripleTest_PackSize</vt:lpstr>
      <vt:lpstr>TripleTest_Total_Budget</vt:lpstr>
      <vt:lpstr>TripleTest_UnitCost</vt:lpstr>
      <vt:lpstr>TripleTest_Wastage_Rate</vt:lpstr>
      <vt:lpstr>Warehousing_Pct</vt:lpstr>
      <vt:lpstr>Wastage_Rate</vt:lpstr>
      <vt:lpstr>Y1_BPG_Budget</vt:lpstr>
      <vt:lpstr>Y1_BPG_Packs</vt:lpstr>
      <vt:lpstr>Y1_BPG_Total</vt:lpstr>
      <vt:lpstr>Y1_DualTest_Budget</vt:lpstr>
      <vt:lpstr>Y1_DualTest_Packs</vt:lpstr>
      <vt:lpstr>Y1_DualTests_Total</vt:lpstr>
      <vt:lpstr>Y1_HBsAg_Packs</vt:lpstr>
      <vt:lpstr>Calc_HBsAgTests!Y1_HBsAgTests_Total</vt:lpstr>
      <vt:lpstr>Y1_HBsAgTests_Total</vt:lpstr>
      <vt:lpstr>Y1_Other_BPG_Packs</vt:lpstr>
      <vt:lpstr>Y1_Other_BPG_Total</vt:lpstr>
      <vt:lpstr>Y1_Other_DualTest_Packs</vt:lpstr>
      <vt:lpstr>Y1_Other_DualTests_Total</vt:lpstr>
      <vt:lpstr>Y1_Other_HBsAg_Packs</vt:lpstr>
      <vt:lpstr>Y1_Other_HBsAgTests_Total</vt:lpstr>
      <vt:lpstr>Y1_Other_TDF_Packs</vt:lpstr>
      <vt:lpstr>Y1_Other_TripleTest_Packs</vt:lpstr>
      <vt:lpstr>Y1_Other_TripleTests_Total</vt:lpstr>
      <vt:lpstr>Y1_Screening_Target</vt:lpstr>
      <vt:lpstr>Y1_TDF_Packs</vt:lpstr>
      <vt:lpstr>Y1_TDF_Total</vt:lpstr>
      <vt:lpstr>Y1_Treatment_Target</vt:lpstr>
      <vt:lpstr>Y1_TripleTest_Budget</vt:lpstr>
      <vt:lpstr>Y1_TripleTest_Packs</vt:lpstr>
      <vt:lpstr>Y1_TripleTests_Total</vt:lpstr>
      <vt:lpstr>Y2_BPG_Budget</vt:lpstr>
      <vt:lpstr>Y2_BPG_Packs</vt:lpstr>
      <vt:lpstr>Y2_BPG_Total</vt:lpstr>
      <vt:lpstr>Y2_DualTest_Budget</vt:lpstr>
      <vt:lpstr>Y2_DualTest_Packs</vt:lpstr>
      <vt:lpstr>Y2_DualTests_Total</vt:lpstr>
      <vt:lpstr>Y2_HBsAg_Packs</vt:lpstr>
      <vt:lpstr>Y2_HBsAgTests_Total</vt:lpstr>
      <vt:lpstr>Y2_Other_BPG_Packs</vt:lpstr>
      <vt:lpstr>Y2_Other_BPG_Total</vt:lpstr>
      <vt:lpstr>Y2_Other_DualTest_Packs</vt:lpstr>
      <vt:lpstr>Y2_Other_DualTests_Total</vt:lpstr>
      <vt:lpstr>Y2_Other_HBsAg_Packs</vt:lpstr>
      <vt:lpstr>Y2_Other_HBsAgTests_Total</vt:lpstr>
      <vt:lpstr>Y2_Other_TDF_Packs</vt:lpstr>
      <vt:lpstr>Y2_Other_TripleTest_Packs</vt:lpstr>
      <vt:lpstr>Y2_Other_TripleTests_Total</vt:lpstr>
      <vt:lpstr>Y2_Screening_Target</vt:lpstr>
      <vt:lpstr>Y2_TDF_Packs</vt:lpstr>
      <vt:lpstr>Y2_TDF_Total</vt:lpstr>
      <vt:lpstr>Y2_Treatment_Target</vt:lpstr>
      <vt:lpstr>Y2_TripleTest_Budget</vt:lpstr>
      <vt:lpstr>Y2_TripleTest_Packs</vt:lpstr>
      <vt:lpstr>Y2_TripleTests_Total</vt:lpstr>
      <vt:lpstr>Y3_BPG_Budget</vt:lpstr>
      <vt:lpstr>Y3_BPG_Packs</vt:lpstr>
      <vt:lpstr>Y3_BPG_Total</vt:lpstr>
      <vt:lpstr>Y3_DualTest_Budget</vt:lpstr>
      <vt:lpstr>Y3_DualTest_Packs</vt:lpstr>
      <vt:lpstr>Y3_DualTests_Total</vt:lpstr>
      <vt:lpstr>Y3_HBsAg_Packs</vt:lpstr>
      <vt:lpstr>Y3_HBsAgTests_Total</vt:lpstr>
      <vt:lpstr>Y3_Other_BPG_Packs</vt:lpstr>
      <vt:lpstr>Y3_Other_BPG_Total</vt:lpstr>
      <vt:lpstr>Y3_Other_DualTest_Packs</vt:lpstr>
      <vt:lpstr>Y3_Other_DualTests_Total</vt:lpstr>
      <vt:lpstr>Y3_Other_HBsAg_Packs</vt:lpstr>
      <vt:lpstr>Y3_Other_HBsAgTests_Total</vt:lpstr>
      <vt:lpstr>Y3_Other_TDF_Packs</vt:lpstr>
      <vt:lpstr>Y3_Other_TripleTest_Packs</vt:lpstr>
      <vt:lpstr>Y3_Other_TripleTests_Total</vt:lpstr>
      <vt:lpstr>Y3_Screening_Target</vt:lpstr>
      <vt:lpstr>Y3_TDF_Packs</vt:lpstr>
      <vt:lpstr>Y3_TDF_Total</vt:lpstr>
      <vt:lpstr>Y3_Treatment_Target</vt:lpstr>
      <vt:lpstr>Y3_TripleTest_Budget</vt:lpstr>
      <vt:lpstr>Y3_TripleTest_Packs</vt:lpstr>
      <vt:lpstr>Y3_TripleTests_Total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Bruce</dc:creator>
  <cp:lastModifiedBy>Sara Bruce</cp:lastModifiedBy>
  <dcterms:created xsi:type="dcterms:W3CDTF">2025-12-22T19:05:02Z</dcterms:created>
  <dcterms:modified xsi:type="dcterms:W3CDTF">2026-05-19T23:09:38Z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0x0101002D9AB3FD6A80204884CB7AAEDE1F4C1B</vt:lpwstr>
  </property>
</Properties>
</file>